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cent\Desktop\569 33 школа\3. расчеты фасады\для подрядчика\"/>
    </mc:Choice>
  </mc:AlternateContent>
  <xr:revisionPtr revIDLastSave="0" documentId="13_ncr:1_{82479165-C850-4E07-A4AC-888788838123}" xr6:coauthVersionLast="47" xr6:coauthVersionMax="47" xr10:uidLastSave="{00000000-0000-0000-0000-000000000000}"/>
  <bookViews>
    <workbookView xWindow="-120" yWindow="-120" windowWidth="29040" windowHeight="15720" xr2:uid="{C8336CBC-D709-460D-A9C4-B39BE35C5493}"/>
  </bookViews>
  <sheets>
    <sheet name="фасады штукатурка " sheetId="1" r:id="rId1"/>
  </sheets>
  <definedNames>
    <definedName name="_xlnm.Print_Area" localSheetId="0">'фасады штукатурка '!$A$1:$AF$104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F22" i="1"/>
  <c r="H20" i="1" l="1"/>
  <c r="G20" i="1" s="1"/>
  <c r="J20" i="1"/>
  <c r="I20" i="1" s="1"/>
  <c r="L20" i="1"/>
  <c r="K20" i="1" s="1"/>
  <c r="M20" i="1"/>
  <c r="O20" i="1"/>
  <c r="R20" i="1"/>
  <c r="Q20" i="1" s="1"/>
  <c r="S20" i="1"/>
  <c r="U20" i="1"/>
  <c r="K21" i="1"/>
  <c r="O21" i="1"/>
  <c r="Q21" i="1"/>
  <c r="M19" i="1"/>
  <c r="Q19" i="1"/>
  <c r="F21" i="1" l="1"/>
  <c r="F19" i="1"/>
  <c r="F20" i="1"/>
  <c r="I16" i="1"/>
  <c r="F16" i="1" s="1"/>
  <c r="H17" i="1"/>
  <c r="G17" i="1" s="1"/>
  <c r="N18" i="1"/>
  <c r="M18" i="1" s="1"/>
  <c r="I89" i="1" l="1"/>
  <c r="I90" i="1" s="1"/>
  <c r="I91" i="1"/>
  <c r="I92" i="1"/>
  <c r="I84" i="1" l="1"/>
  <c r="G84" i="1"/>
  <c r="H33" i="1" l="1"/>
  <c r="G33" i="1" s="1"/>
  <c r="F33" i="1" s="1"/>
  <c r="F38" i="1" s="1"/>
  <c r="H32" i="1"/>
  <c r="G32" i="1" s="1"/>
  <c r="F32" i="1" s="1"/>
  <c r="H11" i="1"/>
  <c r="G11" i="1" s="1"/>
  <c r="F37" i="1" l="1"/>
  <c r="U46" i="1"/>
  <c r="S46" i="1"/>
  <c r="Q46" i="1"/>
  <c r="O46" i="1"/>
  <c r="M46" i="1"/>
  <c r="K46" i="1"/>
  <c r="I46" i="1"/>
  <c r="G46" i="1"/>
  <c r="F49" i="1" s="1"/>
  <c r="G69" i="1"/>
  <c r="H57" i="1"/>
  <c r="H14" i="1" l="1"/>
  <c r="G14" i="1" s="1"/>
  <c r="H13" i="1"/>
  <c r="G13" i="1" s="1"/>
  <c r="H55" i="1"/>
  <c r="G55" i="1" s="1"/>
  <c r="H58" i="1"/>
  <c r="G58" i="1" s="1"/>
  <c r="G57" i="1"/>
  <c r="H60" i="1"/>
  <c r="G60" i="1" s="1"/>
  <c r="H56" i="1"/>
  <c r="G56" i="1" s="1"/>
  <c r="F56" i="1" s="1"/>
  <c r="I60" i="1"/>
  <c r="I59" i="1"/>
  <c r="F59" i="1" s="1"/>
  <c r="I58" i="1"/>
  <c r="I55" i="1"/>
  <c r="I57" i="1"/>
  <c r="I56" i="1"/>
  <c r="F57" i="1" l="1"/>
  <c r="F54" i="1" s="1"/>
  <c r="F55" i="1"/>
  <c r="F58" i="1"/>
  <c r="F60" i="1"/>
  <c r="I87" i="1"/>
  <c r="G87" i="1"/>
  <c r="G92" i="1"/>
  <c r="G91" i="1"/>
  <c r="G89" i="1"/>
  <c r="I71" i="1"/>
  <c r="G71" i="1"/>
  <c r="I70" i="1"/>
  <c r="G70" i="1"/>
  <c r="U18" i="1"/>
  <c r="J18" i="1"/>
  <c r="I18" i="1" s="1"/>
  <c r="H18" i="1"/>
  <c r="G18" i="1" s="1"/>
  <c r="V17" i="1"/>
  <c r="U17" i="1" s="1"/>
  <c r="T17" i="1"/>
  <c r="S17" i="1" s="1"/>
  <c r="R17" i="1"/>
  <c r="Q17" i="1" s="1"/>
  <c r="P17" i="1"/>
  <c r="O17" i="1" s="1"/>
  <c r="N17" i="1"/>
  <c r="M17" i="1" s="1"/>
  <c r="L17" i="1"/>
  <c r="K17" i="1" s="1"/>
  <c r="J17" i="1"/>
  <c r="I17" i="1" s="1"/>
  <c r="U15" i="1"/>
  <c r="S15" i="1"/>
  <c r="Q15" i="1"/>
  <c r="O15" i="1"/>
  <c r="M15" i="1"/>
  <c r="K15" i="1"/>
  <c r="V14" i="1"/>
  <c r="U14" i="1" s="1"/>
  <c r="T14" i="1"/>
  <c r="S14" i="1" s="1"/>
  <c r="R14" i="1"/>
  <c r="Q14" i="1" s="1"/>
  <c r="P14" i="1"/>
  <c r="O14" i="1" s="1"/>
  <c r="N14" i="1"/>
  <c r="M14" i="1" s="1"/>
  <c r="L14" i="1"/>
  <c r="K14" i="1" s="1"/>
  <c r="J14" i="1"/>
  <c r="I14" i="1" s="1"/>
  <c r="J13" i="1"/>
  <c r="I13" i="1" s="1"/>
  <c r="F13" i="1" s="1"/>
  <c r="J12" i="1"/>
  <c r="I12" i="1" s="1"/>
  <c r="F12" i="1" s="1"/>
  <c r="G41" i="1"/>
  <c r="I10" i="1"/>
  <c r="F10" i="1" s="1"/>
  <c r="J11" i="1"/>
  <c r="J40" i="1" s="1"/>
  <c r="H40" i="1"/>
  <c r="F69" i="1"/>
  <c r="J68" i="1"/>
  <c r="I68" i="1" s="1"/>
  <c r="H68" i="1"/>
  <c r="G68" i="1" s="1"/>
  <c r="V31" i="1"/>
  <c r="U31" i="1"/>
  <c r="T31" i="1"/>
  <c r="T30" i="1" s="1"/>
  <c r="R31" i="1"/>
  <c r="Q31" i="1" s="1"/>
  <c r="P31" i="1"/>
  <c r="O31" i="1" s="1"/>
  <c r="N31" i="1"/>
  <c r="N30" i="1" s="1"/>
  <c r="L31" i="1"/>
  <c r="L30" i="1" s="1"/>
  <c r="J31" i="1"/>
  <c r="J30" i="1" s="1"/>
  <c r="H31" i="1"/>
  <c r="H30" i="1" s="1"/>
  <c r="V30" i="1"/>
  <c r="U30" i="1" s="1"/>
  <c r="P30" i="1"/>
  <c r="F17" i="1" l="1"/>
  <c r="F14" i="1"/>
  <c r="I86" i="1"/>
  <c r="I85" i="1"/>
  <c r="G86" i="1"/>
  <c r="G85" i="1"/>
  <c r="F71" i="1"/>
  <c r="F68" i="1"/>
  <c r="F89" i="1"/>
  <c r="F86" i="1"/>
  <c r="F15" i="1"/>
  <c r="G31" i="1"/>
  <c r="F70" i="1"/>
  <c r="F18" i="1"/>
  <c r="F87" i="1"/>
  <c r="F85" i="1" s="1"/>
  <c r="I41" i="1"/>
  <c r="F41" i="1" s="1"/>
  <c r="O30" i="1"/>
  <c r="S31" i="1"/>
  <c r="F47" i="1"/>
  <c r="F84" i="1"/>
  <c r="K31" i="1"/>
  <c r="S30" i="1"/>
  <c r="G90" i="1"/>
  <c r="F90" i="1" s="1"/>
  <c r="I31" i="1"/>
  <c r="F92" i="1"/>
  <c r="R30" i="1"/>
  <c r="G30" i="1"/>
  <c r="K30" i="1"/>
  <c r="I30" i="1"/>
  <c r="M30" i="1"/>
  <c r="I11" i="1"/>
  <c r="F11" i="1" s="1"/>
  <c r="F91" i="1"/>
  <c r="M31" i="1"/>
  <c r="F9" i="1" l="1"/>
  <c r="F46" i="1"/>
  <c r="F50" i="1"/>
  <c r="F62" i="1"/>
  <c r="F63" i="1" s="1"/>
  <c r="F64" i="1" s="1"/>
  <c r="F67" i="1"/>
  <c r="F83" i="1"/>
  <c r="F66" i="1"/>
  <c r="G40" i="1"/>
  <c r="F31" i="1"/>
  <c r="F36" i="1" s="1"/>
  <c r="Q30" i="1"/>
  <c r="F35" i="1" s="1"/>
  <c r="F34" i="1" s="1"/>
  <c r="I40" i="1"/>
  <c r="F45" i="1" l="1"/>
  <c r="F44" i="1" s="1"/>
  <c r="F30" i="1"/>
  <c r="F29" i="1" s="1"/>
  <c r="F53" i="1"/>
  <c r="F40" i="1"/>
  <c r="F27" i="1" l="1"/>
  <c r="F8" i="1"/>
  <c r="F43" i="1"/>
  <c r="F39" i="1"/>
  <c r="F26" i="1" l="1"/>
  <c r="F24" i="1" s="1"/>
  <c r="F28" i="1"/>
  <c r="F96" i="1"/>
  <c r="F97" i="1" s="1"/>
</calcChain>
</file>

<file path=xl/sharedStrings.xml><?xml version="1.0" encoding="utf-8"?>
<sst xmlns="http://schemas.openxmlformats.org/spreadsheetml/2006/main" count="306" uniqueCount="209">
  <si>
    <t>участок 569 участок 33</t>
  </si>
  <si>
    <t>1 этаж</t>
  </si>
  <si>
    <t>2 этаж</t>
  </si>
  <si>
    <t>3 этаж</t>
  </si>
  <si>
    <t>4 этаж</t>
  </si>
  <si>
    <t>№ п/п</t>
  </si>
  <si>
    <t>№пп</t>
  </si>
  <si>
    <t>Наименование работ</t>
  </si>
  <si>
    <t>Ед. изм</t>
  </si>
  <si>
    <t>Блок А, м2</t>
  </si>
  <si>
    <t>Проёмы, м2</t>
  </si>
  <si>
    <t>Блок Б, м2</t>
  </si>
  <si>
    <t>Цена ед за работу руб.</t>
  </si>
  <si>
    <t>Стоимость работ , руб.</t>
  </si>
  <si>
    <t>Цена ед за материала, руб.</t>
  </si>
  <si>
    <t>Стоимость мтариалов , руб.</t>
  </si>
  <si>
    <t>Общая стоимость, руб.</t>
  </si>
  <si>
    <t>Примечание</t>
  </si>
  <si>
    <t>м2</t>
  </si>
  <si>
    <t>1.1</t>
  </si>
  <si>
    <t>Наружный слой штукатурки с имитацией (посредством трафарета) - цвет белый RAL 1015 NCS S0502-Y50R</t>
  </si>
  <si>
    <t>2.1</t>
  </si>
  <si>
    <t>Наружный слой штукатурки с имитацией (посредством трафарета) - цвет белый RAL 1015 NCS S0502-Y50R (откосы)</t>
  </si>
  <si>
    <t>3.1</t>
  </si>
  <si>
    <t>4.1</t>
  </si>
  <si>
    <t>Система тонкослойной штукатурки по сетке (КМ0) (стены вентшахт)</t>
  </si>
  <si>
    <t>5.1</t>
  </si>
  <si>
    <t>Система тонкослойной штукатурки по сетке (КМ0) (стены до обреза кровли в стропильной системе)</t>
  </si>
  <si>
    <t>6.1</t>
  </si>
  <si>
    <t>мп</t>
  </si>
  <si>
    <t>на отм. -0,550, -0,150</t>
  </si>
  <si>
    <t>Труба соединительная ∅150- цвет RAL 3011</t>
  </si>
  <si>
    <t>Охват трубы с креплением ∅150- цвет RAL 3011</t>
  </si>
  <si>
    <t>шт</t>
  </si>
  <si>
    <t>Отлив ∅150- цвет RAL 3011</t>
  </si>
  <si>
    <t>Колено трубы ∅150- цвет RAL 3011</t>
  </si>
  <si>
    <t>Обмазочная гидроизоляция проникающего действия на цементной основе за 2 раза толщ. 2мм (с отм. -0.470) (крыльца, пандус, приямки)</t>
  </si>
  <si>
    <t>Основание 14184_7 школа - АР</t>
  </si>
  <si>
    <t>Раздел 1. Отделка фасадов.</t>
  </si>
  <si>
    <t xml:space="preserve">1. Огрунтовка и утепление </t>
  </si>
  <si>
    <t xml:space="preserve">1.2 </t>
  </si>
  <si>
    <t>1.2.1</t>
  </si>
  <si>
    <t>1.2.2</t>
  </si>
  <si>
    <t>1.2.3</t>
  </si>
  <si>
    <t>1.2.4</t>
  </si>
  <si>
    <t>1.2.5</t>
  </si>
  <si>
    <t>1.2.7</t>
  </si>
  <si>
    <t>1.2.8</t>
  </si>
  <si>
    <t>1.2.11</t>
  </si>
  <si>
    <t>1.2.12</t>
  </si>
  <si>
    <t>Без расхода</t>
  </si>
  <si>
    <t>Минераловатные плиты по типу "ROCKWOOL" серия ФАСАД БАТТС, у=110-120кг/м3, λБ не более=0,042Вт/м°С, б=130, на клеевом составе RKS и тарельчатых винтовых дюбелях (газобетонные и жб стены)</t>
  </si>
  <si>
    <t>Минераловатные плиты по типу "ROCKWOOL" серия ФАСАД БАТТС, у=110-120кг/м3, λБ не более=0,042Вт/м°С, б=200, на клеевом составе RKS и тарельчатых винтовых дюбелях (газобетонные и жб стены)</t>
  </si>
  <si>
    <t>Минераловатные плиты по типу "ROCKWOOL" серия ФАСАД БАТТС, у=110-120кг/м3, λБ не более=0,042Вт/м°С, б=210, на клеевом составе RKS и тарельчатых винтовых дюбелях (газобетонные и жб стены)</t>
  </si>
  <si>
    <t>Минераловатные плиты по типу "ROCKWOOL" серия ФАСАД БАТТС, у=110-120кг/м3, λБ не более=0,042Вт/м°С, б=260, на клеевом составе RKS и тарельчатых винтовых дюбелях (газобетонные и жб стены)</t>
  </si>
  <si>
    <t xml:space="preserve">3. Устройство защитно-декоративного штукатурного слоя </t>
  </si>
  <si>
    <t>Отделка декоративной штукатуркой стен применяемые материалы:</t>
  </si>
  <si>
    <t>3.2</t>
  </si>
  <si>
    <t>3.2.1</t>
  </si>
  <si>
    <t>3.2.2</t>
  </si>
  <si>
    <t>4. Отделка откосов</t>
  </si>
  <si>
    <t>4.2</t>
  </si>
  <si>
    <t>4.3</t>
  </si>
  <si>
    <t>4.3.1</t>
  </si>
  <si>
    <t>4.3.2</t>
  </si>
  <si>
    <t xml:space="preserve">Раздел 3. Отделка потолка входной группы </t>
  </si>
  <si>
    <t>Раздел 4. Отделка крылец, пандуса, приямков, входов в подвал</t>
  </si>
  <si>
    <t>Раздел 5. Устройство наружных водосточных систем</t>
  </si>
  <si>
    <t>Установка строительных лесов (вертикальная площадь фасада без учета балконов)</t>
  </si>
  <si>
    <t>м²</t>
  </si>
  <si>
    <t>Демонтаж строительных лесов</t>
  </si>
  <si>
    <t>Грузоподъемные механизмы</t>
  </si>
  <si>
    <t>комп</t>
  </si>
  <si>
    <t>Разработка ППР</t>
  </si>
  <si>
    <t xml:space="preserve">Вывоз строительных отходов </t>
  </si>
  <si>
    <t>Огрунтовка стен грунтом Caparol Grund-Konzentrat</t>
  </si>
  <si>
    <t>5. Огрунтовка и утепление стен цоколя</t>
  </si>
  <si>
    <t>5.2</t>
  </si>
  <si>
    <t>7.1</t>
  </si>
  <si>
    <t>7.3</t>
  </si>
  <si>
    <t>7.4</t>
  </si>
  <si>
    <t>8.1</t>
  </si>
  <si>
    <t>8.2</t>
  </si>
  <si>
    <t>8.3</t>
  </si>
  <si>
    <t>8.2.1</t>
  </si>
  <si>
    <t>8.3.1</t>
  </si>
  <si>
    <t>8.4</t>
  </si>
  <si>
    <t>8.4.1</t>
  </si>
  <si>
    <t>Отделка потолка</t>
  </si>
  <si>
    <t>9.1</t>
  </si>
  <si>
    <t>8.4.2</t>
  </si>
  <si>
    <t>Устройство штукатурного слоя на потолке</t>
  </si>
  <si>
    <t>9.2</t>
  </si>
  <si>
    <t>9.3</t>
  </si>
  <si>
    <t>3.3</t>
  </si>
  <si>
    <t>3.4</t>
  </si>
  <si>
    <t>7.2.1</t>
  </si>
  <si>
    <t>7.2.2</t>
  </si>
  <si>
    <t>5.2.1</t>
  </si>
  <si>
    <t>5.2.2</t>
  </si>
  <si>
    <t>5.2.3</t>
  </si>
  <si>
    <t>5.2.4</t>
  </si>
  <si>
    <t>5.2.5</t>
  </si>
  <si>
    <t>5.2.6</t>
  </si>
  <si>
    <t xml:space="preserve">1. Лицевые бетонные камни СКЦ 2Л-11, "Меликонполар" 380х60(б)х140(h), (крепить к арматурной сетке крюками из стальной оцинкованной проволоки ф2 В1) </t>
  </si>
  <si>
    <t xml:space="preserve">2. При приклеивании керамической плитки клеевой состав одновременно наносится как на базовый слой так и на саму плитку. Дюбилировать через силенную армирующую сетку </t>
  </si>
  <si>
    <t>Огрунтовка стен грунтом Caparol Grund-Konzentrat (с учетом вентшахт)</t>
  </si>
  <si>
    <t xml:space="preserve">Раздел 2. Отделка цоколя </t>
  </si>
  <si>
    <t>7. Устройство керамической плитки цоколя</t>
  </si>
  <si>
    <t xml:space="preserve">Минераловатные плиты по типу "ROCKWOOL" серия ФАСАД БАТТС, у=110-120кг/м3, λБ не более=0,042Вт/м°С, б=170, на клеевом составе RKS и тарельчатых винтовых дюбелях </t>
  </si>
  <si>
    <t>Минераловатные плиты по типу "ROCKWOOL" серия ФАСАД БАТТС, у=110-120кг/м3, λБ не более=0,042Вт/м°С, б=200, на клеевом составе RKS и тарельчатых винтовых дюбелях</t>
  </si>
  <si>
    <t>3.2.3</t>
  </si>
  <si>
    <t>3.2.4</t>
  </si>
  <si>
    <t>Наружный слой штукатурки с имитацией (посредством трафарета) керамической плитки "Баварская кладка" цвет желтый, рыжий, коричневый RAL 1017 NCS S1030-Y20R, RAL 2000 NCS S2030-Y40R, RAL 8001 NCS S4030-Y30R (вентшахты примыкающие к стенам фасада, к выходам на кровлю)</t>
  </si>
  <si>
    <t>Наружный слой штукатурки с имитацией (посредством трафарета) - цвет белый RAL 1015 NCS S0502-Y50R (вентшахты примыкающие к стенам фасада, к выходам на кровлю)</t>
  </si>
  <si>
    <t>Устройство штукатурного слоя вентшахт и стен чердачного помещения</t>
  </si>
  <si>
    <t>Устройство стыка МВП между цоколем и 1-м этажем, стартовый профиль ПВХ</t>
  </si>
  <si>
    <t>Монтаж теплоизоляционных плит на клей Capatect Dammkleber 185</t>
  </si>
  <si>
    <t>Монтаж керамической плитки клинкерной (антивандальной)типа LOBATHERM M-R цвет коричневый RAL 8007 NCS S6010-Y30R (откосы) ширина откоса 150 мм, с затиркой швов (затирка quick-mix RFS)</t>
  </si>
  <si>
    <t>Монтаж керамической плитки клинкерной (антивандальной) типа LOBATHERM M-R цвет коричневый RAL 8007 NCS S6010-Y30R (цоколь) с затиркой швов (затирка quick-mix RFS)</t>
  </si>
  <si>
    <t>Огрунтовка стен грунтовкой глубокого проникновения ATG</t>
  </si>
  <si>
    <t>9.4</t>
  </si>
  <si>
    <t>9.5</t>
  </si>
  <si>
    <t>Монтаж теплоизоляционных плит на клеевую смесь RKS</t>
  </si>
  <si>
    <t>6.1.1</t>
  </si>
  <si>
    <t>6.1.2</t>
  </si>
  <si>
    <t>Монтаж керамической плитки типа LOBATHERM M-R на клеевом составе RKS</t>
  </si>
  <si>
    <t>7.2</t>
  </si>
  <si>
    <t>6. Устройство базового штукатурного слоя на цоколе</t>
  </si>
  <si>
    <t>Штукатурно-клеевая смесь RAS</t>
  </si>
  <si>
    <t>Устройство базового штукатурного слоя под керамическую плитку</t>
  </si>
  <si>
    <t>10.1</t>
  </si>
  <si>
    <t>10.2</t>
  </si>
  <si>
    <t>10.3</t>
  </si>
  <si>
    <t>10.4</t>
  </si>
  <si>
    <t>11.1</t>
  </si>
  <si>
    <t>Устройство армирующего слоя стен под штукатурку (стеклосетка щелочестойкая Мастер 4*4+ клей шпатлевка для армирования теплоизоляционных плит Capatect Klebe und Armierungmasse 186)</t>
  </si>
  <si>
    <t>Стальные штыри ф10 АIII L=120 (отделка стен крылец и пандуса, приямки)</t>
  </si>
  <si>
    <t>Армирующий слой из стальной оцинкованной сетки ф6 с ячейкой 150х150 (крепить вязальной проволокой к стальным штырям) (отделка стен крылец и пандуса, приямки)</t>
  </si>
  <si>
    <t>12.1</t>
  </si>
  <si>
    <t>12.2</t>
  </si>
  <si>
    <t>12.3</t>
  </si>
  <si>
    <t>12.4</t>
  </si>
  <si>
    <t>12.5</t>
  </si>
  <si>
    <t>Раздел 6. Устройство продухов</t>
  </si>
  <si>
    <t>Раздел 7. Прочие работы</t>
  </si>
  <si>
    <t>Установка регулируемых жалюзийных решеток с противомоскитной сеткой с внутренней стороны</t>
  </si>
  <si>
    <t>Лицевые бетонные камни СКЦ 2Л-11, "Меликонполар" 380х60(б)х140(h) на цементно-песчаном растворе М100 толщ. 30мм</t>
  </si>
  <si>
    <t xml:space="preserve">Окраска потолка входной группы </t>
  </si>
  <si>
    <t xml:space="preserve">Огрунтовка потолка </t>
  </si>
  <si>
    <t>7.5</t>
  </si>
  <si>
    <t xml:space="preserve">Установка лючка (дверца металлическая на петлях, утепленная; закрывается на гайку) для доступа к поливным кранам </t>
  </si>
  <si>
    <t>Минераловатные плиты "ROCKWOOL" серия ФАСАД БАТТС, у=145кг/м3, б=180, крепление тарельчатыми винтовыми дюбелями (стены до обреза кровли в стропильной системе)</t>
  </si>
  <si>
    <t>Минераловатные плиты "ROCKWOOL" серия ФАСАД БАТТС, у=145кг/м3, б=50, крепление тарельчатыми винтовыми дюбелями (вентшахты)</t>
  </si>
  <si>
    <t>Минераловатные плиты "ROCKWOOL" серия ФАСАД БАТТС, у=145кг/м3, б=50, крепление тарельчатыми винтовыми дюбелями (воздухозаборная шахта)</t>
  </si>
  <si>
    <t>Тонкослойная штукатурка потолка входной группы по сетке</t>
  </si>
  <si>
    <t xml:space="preserve">Огрунтовка стен грунтом </t>
  </si>
  <si>
    <t>Без расхода, разделили на 2 слоя толщ 100</t>
  </si>
  <si>
    <t>Без расхода, разделили на 2 слоя толщ 30+180</t>
  </si>
  <si>
    <t>Расход</t>
  </si>
  <si>
    <t>1.2.6</t>
  </si>
  <si>
    <t>1.2.9</t>
  </si>
  <si>
    <t>До начала работ устанавливаются леса - 100%, леса укрываются защитной сеткой - 100%.</t>
  </si>
  <si>
    <t>3.1.1</t>
  </si>
  <si>
    <t>3.1.2</t>
  </si>
  <si>
    <t>Грунт Caparol Grund-Konzentrat (с колеровкой)</t>
  </si>
  <si>
    <t xml:space="preserve">Грунт Caparol Grund-Konzentrat </t>
  </si>
  <si>
    <t>Отделка декоративной штукатуркой стен:</t>
  </si>
  <si>
    <t>Окраска стен - цвет желтый, рыжий, коричневый RAL 1017 NCS S1030-Y20R, RAL 2000 NCS S2030-Y40R, RAL 8001 NCS S4030-Y30R</t>
  </si>
  <si>
    <t>Окраска стен - цвет белый RAL 1015 NCS S0502-Y50R</t>
  </si>
  <si>
    <t>3.3.1</t>
  </si>
  <si>
    <t>3.3.2</t>
  </si>
  <si>
    <t>Окраска наружных стен и стен вентшахт</t>
  </si>
  <si>
    <t>3.3.3</t>
  </si>
  <si>
    <t>3.3.4</t>
  </si>
  <si>
    <t>4.4</t>
  </si>
  <si>
    <t>Огрунтовка стен грунтом Caparol Grund-Konzentrat (с колеровкой)</t>
  </si>
  <si>
    <t>4.4.1</t>
  </si>
  <si>
    <t>4.4.2</t>
  </si>
  <si>
    <t>Наружный декоративно-защитный штукатурный армированный слой с отображением кирпичной кладки (посредством трафарета)  "Баварская кладка" (класс пожарной опасности К0)</t>
  </si>
  <si>
    <t>2. Устройство базового армирующего слоя</t>
  </si>
  <si>
    <t>Устройство базового армирующего слоя стен под штукатурку (стеклосетка щелочестойкая Мастер 4*4+ клей шпатлевка для армирования теплоизоляционных плит Capatect Klebe und Armierungmasse 186)</t>
  </si>
  <si>
    <t xml:space="preserve">Заделка стыков плитки цоколя герметиком </t>
  </si>
  <si>
    <t>Минераловатные плиты по типу "ROCKWOOL" серия ФАСАД БАТТС, у=110-120кг/м3, λБ не более=0,042Вт/м°С, б=100, крепление тарельчатыми винтовыми дюбелями (газобетонные и жб стены)</t>
  </si>
  <si>
    <t>Минераловатные плиты по типу "ROCKWOOL" серия ФАСАД БАТТС, у=110-120кг/м3, λБ не более=0,042Вт/м°С, б=180, крепление тарельчатыми винтовыми дюбелями (газобетонные и жб стены)</t>
  </si>
  <si>
    <t>Минераловатные плиты по типу "ROCKWOOL" серия ФАСАД БАТТС, у=110-120кг/м3, λБ не более=0,042Вт/м°С, б=230, крепление тарельчатыми винтовыми дюбелями (газобетонные и жб стены)</t>
  </si>
  <si>
    <t>Минераловатные плиты по типу "ROCKWOOL" серия ФАСАД БАТТС, у=110-120кг/м3, λБ не более=0,042Вт/м°С, б=30, крепление тарельчатыми винтовыми дюбелями (газобетонные и жб стены)</t>
  </si>
  <si>
    <t>Минераловатные плиты по типу "ROCKWOOL" серия ФАСАД БАТТС, у=110-120кг/м3, λБ не более=0,042Вт/м°С, б=30, крепление тарельчатыми винтовыми дюбелями</t>
  </si>
  <si>
    <t>Минераловатные плиты по типу "ROCKWOOL" серия ФАСАД БАТТС, у=110-120кг/м3, λБ не более=0,042Вт/м°С, б=70, крепление тарельчатыми винтовыми дюбелями</t>
  </si>
  <si>
    <t>Минераловатные плиты по типу "ROCKWOOL" серия ФАСАД БАТТС, у=110-120кг/м3, λБ не более=0,042Вт/м°С, б=100, крепление тарельчатыми винтовыми дюбелями</t>
  </si>
  <si>
    <t>Минераловатные плиты по типу "ROCKWOOL" серия ФАСАД БАТТС, у=110-120кг/м3, λБ не более=0,042Вт/м°С, б=150, крепление тарельчатыми винтовыми дюбелями</t>
  </si>
  <si>
    <t>Без расхода, добавлен объем (32,07м2) утеплителя толщ. 260 (разделен на 2 слоя утеплителя толщ. 230+30)</t>
  </si>
  <si>
    <t>Без расхода, получится после резки утеплителя толщ. 100                                                  используется для добора утеплителя толщ 260 (230+30) и утеплителя толщ. 210 (180+30)</t>
  </si>
  <si>
    <t>Без расхода, с учетом доп. утеплителя (толщ. 100) у колонн.                                                        добавлен объем (68,8м2) утеплителя толщ. 200 (разделен на 2 слоя утеплителя толщ. 100+100)</t>
  </si>
  <si>
    <t>Без расхода, Вентшахты на плоской кровле- полностью, на скатной - до обреза кровли</t>
  </si>
  <si>
    <t>Без расхода, добавлен объем (178,56 м2) утеплителя толщ. 130 (получится после резки утеплителя толщ. 150)</t>
  </si>
  <si>
    <t>Без расхода, добавлен объем (35,31м2) утеплителя толщ. 210 (разделен на 2 слоя утеплителя толщ. 180+30)</t>
  </si>
  <si>
    <t xml:space="preserve">Кол-во </t>
  </si>
  <si>
    <t xml:space="preserve">Без расхода, используется для добора утеплителя толщ 120 (100+30) </t>
  </si>
  <si>
    <t>Минераловатные плиты по типу "ROCKWOOL" серия ФАСАД БАТТС, у=110-120кг/м3, λБ не более=0,042Вт/м°С, б=70, крепление тарельчатыми винтовыми дюбелями (газобетонные и жб стены)</t>
  </si>
  <si>
    <t>Без расхода, добавлен объем (5,43м2) утеплителя толщ. 170 (разделен на 2 слоя утеплителя толщ. 100+70)                                  добавлен объем (21,48м2) утеплителя толщ. 200 (разделен на 2 слоя утеплителя толщ. 100+100)                      добавлен объем (23,79м2) утеплителя толщ. 120 (разделен на 2 слоя 100+30)</t>
  </si>
  <si>
    <t>Без расхода, получится после резки утеплителя толщ. 100                                                 добавлен объем (5,43м2) утеплителя толщ. 170 (разделен на 2 слоя утеплителя толщ. 100+70)</t>
  </si>
  <si>
    <t>Стеклосетка с щелочестойкой полимерной пропиткой PUG 200</t>
  </si>
  <si>
    <t>Минераловатные плиты по типу "ROCKWOOL" серия ФАСАД БАТТС, у=110-120кг/м3, λБ не более=0,042Вт/м°С, б=150, крепление тарельчатыми винтовыми дюбелями (газобетонные и жб стены)</t>
  </si>
  <si>
    <t>ср. толщ откоса 180мм</t>
  </si>
  <si>
    <t>Окраска откосов</t>
  </si>
  <si>
    <t>Минераловатные плиты МВП по типу "ROCKWOOL" серия Кавити БАТТС, у=45кг/м3, б=150 крепление тарельчатыми винтовыми дюбелями</t>
  </si>
  <si>
    <t>наружные стены</t>
  </si>
  <si>
    <t>Без расхода, получится после резки утеплителя толщ.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</si>
</sst>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16" fontId="1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1" fillId="9" borderId="13" xfId="2" applyFont="1" applyFill="1" applyBorder="1" applyAlignment="1">
      <alignment wrapText="1"/>
    </xf>
    <xf numFmtId="0" fontId="8" fillId="7" borderId="0" xfId="0" applyFont="1" applyFill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2" fontId="1" fillId="8" borderId="13" xfId="0" applyNumberFormat="1" applyFont="1" applyFill="1" applyBorder="1" applyAlignment="1">
      <alignment horizontal="center" vertical="center" wrapText="1"/>
    </xf>
    <xf numFmtId="2" fontId="13" fillId="8" borderId="13" xfId="0" applyNumberFormat="1" applyFont="1" applyFill="1" applyBorder="1" applyAlignment="1">
      <alignment horizontal="center" vertical="center" wrapText="1"/>
    </xf>
    <xf numFmtId="2" fontId="17" fillId="8" borderId="13" xfId="0" applyNumberFormat="1" applyFont="1" applyFill="1" applyBorder="1" applyAlignment="1">
      <alignment horizontal="center" vertical="center" wrapText="1"/>
    </xf>
    <xf numFmtId="2" fontId="11" fillId="8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Border="1" applyAlignment="1">
      <alignment vertical="center" wrapText="1"/>
    </xf>
    <xf numFmtId="49" fontId="17" fillId="9" borderId="12" xfId="0" applyNumberFormat="1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7" fillId="9" borderId="13" xfId="0" applyFont="1" applyFill="1" applyBorder="1" applyAlignment="1">
      <alignment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1" fillId="9" borderId="12" xfId="2" applyFont="1" applyFill="1" applyBorder="1" applyAlignment="1">
      <alignment horizontal="center" vertical="center"/>
    </xf>
    <xf numFmtId="0" fontId="11" fillId="9" borderId="13" xfId="2" applyFont="1" applyFill="1" applyBorder="1" applyAlignment="1">
      <alignment horizontal="center" vertical="center"/>
    </xf>
    <xf numFmtId="2" fontId="11" fillId="9" borderId="12" xfId="0" applyNumberFormat="1" applyFont="1" applyFill="1" applyBorder="1" applyAlignment="1">
      <alignment horizontal="center" vertical="center" wrapText="1"/>
    </xf>
    <xf numFmtId="2" fontId="11" fillId="9" borderId="13" xfId="0" applyNumberFormat="1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3" xfId="2" applyFont="1" applyFill="1" applyBorder="1" applyAlignment="1">
      <alignment vertical="top" wrapText="1"/>
    </xf>
    <xf numFmtId="0" fontId="11" fillId="9" borderId="13" xfId="2" applyFont="1" applyFill="1" applyBorder="1" applyAlignment="1">
      <alignment vertical="top"/>
    </xf>
    <xf numFmtId="0" fontId="11" fillId="0" borderId="12" xfId="0" applyFont="1" applyBorder="1" applyAlignment="1">
      <alignment vertical="center" wrapText="1"/>
    </xf>
    <xf numFmtId="0" fontId="11" fillId="9" borderId="13" xfId="2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16" fontId="13" fillId="0" borderId="0" xfId="0" applyNumberFormat="1" applyFont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2" fontId="15" fillId="6" borderId="4" xfId="0" applyNumberFormat="1" applyFont="1" applyFill="1" applyBorder="1" applyAlignment="1">
      <alignment horizontal="center" vertical="center" wrapText="1"/>
    </xf>
    <xf numFmtId="2" fontId="15" fillId="6" borderId="8" xfId="0" applyNumberFormat="1" applyFont="1" applyFill="1" applyBorder="1" applyAlignment="1">
      <alignment horizontal="center" vertical="center" wrapText="1"/>
    </xf>
    <xf numFmtId="2" fontId="15" fillId="6" borderId="5" xfId="0" applyNumberFormat="1" applyFont="1" applyFill="1" applyBorder="1" applyAlignment="1">
      <alignment horizontal="center" vertical="center" wrapText="1"/>
    </xf>
    <xf numFmtId="2" fontId="15" fillId="6" borderId="9" xfId="0" applyNumberFormat="1" applyFont="1" applyFill="1" applyBorder="1" applyAlignment="1">
      <alignment horizontal="center" vertical="center" wrapText="1"/>
    </xf>
    <xf numFmtId="2" fontId="3" fillId="5" borderId="0" xfId="0" applyNumberFormat="1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 2" xfId="1" xr:uid="{C58E07AB-BD6C-4858-A2B1-B26BE3BE5167}"/>
    <cellStyle name="Обычный 3" xfId="2" xr:uid="{4D1016EC-6721-40E3-8796-4D530D31C4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80B66-0F94-4290-B8D1-C455A6722988}">
  <sheetPr>
    <pageSetUpPr fitToPage="1"/>
  </sheetPr>
  <dimension ref="A1:AI106"/>
  <sheetViews>
    <sheetView tabSelected="1" view="pageBreakPreview" topLeftCell="B1" zoomScaleNormal="100" zoomScaleSheetLayoutView="100" workbookViewId="0">
      <pane xSplit="5" ySplit="5" topLeftCell="W6" activePane="bottomRight" state="frozen"/>
      <selection activeCell="B1" sqref="B1"/>
      <selection pane="topRight" activeCell="F1" sqref="F1"/>
      <selection pane="bottomLeft" activeCell="B8" sqref="B8"/>
      <selection pane="bottomRight" activeCell="AB13" sqref="AB13"/>
    </sheetView>
  </sheetViews>
  <sheetFormatPr defaultRowHeight="18.75" x14ac:dyDescent="0.25"/>
  <cols>
    <col min="1" max="2" width="7.28515625" style="1" customWidth="1"/>
    <col min="3" max="3" width="63.85546875" style="2" customWidth="1"/>
    <col min="4" max="4" width="5.28515625" style="1" customWidth="1"/>
    <col min="5" max="5" width="8.140625" style="1" hidden="1" customWidth="1"/>
    <col min="6" max="6" width="13.28515625" style="20" customWidth="1"/>
    <col min="7" max="22" width="13.28515625" style="3" hidden="1" customWidth="1"/>
    <col min="23" max="23" width="13.28515625" style="4" customWidth="1"/>
    <col min="24" max="24" width="12.85546875" style="4" customWidth="1"/>
    <col min="25" max="25" width="11.85546875" style="4" customWidth="1"/>
    <col min="26" max="26" width="12.85546875" style="4" customWidth="1"/>
    <col min="27" max="27" width="12.42578125" style="4" customWidth="1"/>
    <col min="28" max="28" width="29.85546875" style="2" customWidth="1"/>
    <col min="29" max="29" width="9.140625" style="2"/>
    <col min="30" max="30" width="11.42578125" style="2" bestFit="1" customWidth="1"/>
    <col min="31" max="31" width="11.5703125" style="2" bestFit="1" customWidth="1"/>
    <col min="32" max="33" width="11.42578125" style="2" bestFit="1" customWidth="1"/>
    <col min="34" max="34" width="9.140625" style="2"/>
    <col min="35" max="35" width="11.42578125" style="2" bestFit="1" customWidth="1"/>
    <col min="36" max="16384" width="9.140625" style="2"/>
  </cols>
  <sheetData>
    <row r="1" spans="1:28" ht="18.75" customHeight="1" x14ac:dyDescent="0.25"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ht="18.75" customHeight="1" thickBot="1" x14ac:dyDescent="0.3">
      <c r="C2" s="112" t="s">
        <v>0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28" ht="19.5" thickBot="1" x14ac:dyDescent="0.3">
      <c r="G3" s="113" t="s">
        <v>1</v>
      </c>
      <c r="H3" s="114"/>
      <c r="I3" s="114"/>
      <c r="J3" s="114"/>
      <c r="K3" s="115" t="s">
        <v>2</v>
      </c>
      <c r="L3" s="116"/>
      <c r="M3" s="116"/>
      <c r="N3" s="116"/>
      <c r="O3" s="113" t="s">
        <v>3</v>
      </c>
      <c r="P3" s="114"/>
      <c r="Q3" s="114"/>
      <c r="R3" s="114"/>
      <c r="S3" s="117" t="s">
        <v>4</v>
      </c>
      <c r="T3" s="118"/>
      <c r="U3" s="118"/>
      <c r="V3" s="118"/>
    </row>
    <row r="4" spans="1:28" s="5" customFormat="1" ht="15" customHeight="1" x14ac:dyDescent="0.25">
      <c r="A4" s="102" t="s">
        <v>5</v>
      </c>
      <c r="B4" s="104" t="s">
        <v>6</v>
      </c>
      <c r="C4" s="106" t="s">
        <v>7</v>
      </c>
      <c r="D4" s="106" t="s">
        <v>8</v>
      </c>
      <c r="E4" s="110" t="s">
        <v>159</v>
      </c>
      <c r="F4" s="108" t="s">
        <v>197</v>
      </c>
      <c r="G4" s="99" t="s">
        <v>9</v>
      </c>
      <c r="H4" s="97" t="s">
        <v>10</v>
      </c>
      <c r="I4" s="99" t="s">
        <v>11</v>
      </c>
      <c r="J4" s="97" t="s">
        <v>10</v>
      </c>
      <c r="K4" s="99" t="s">
        <v>9</v>
      </c>
      <c r="L4" s="97" t="s">
        <v>10</v>
      </c>
      <c r="M4" s="99" t="s">
        <v>11</v>
      </c>
      <c r="N4" s="97" t="s">
        <v>10</v>
      </c>
      <c r="O4" s="99" t="s">
        <v>9</v>
      </c>
      <c r="P4" s="97" t="s">
        <v>10</v>
      </c>
      <c r="Q4" s="99" t="s">
        <v>11</v>
      </c>
      <c r="R4" s="97" t="s">
        <v>10</v>
      </c>
      <c r="S4" s="99" t="s">
        <v>9</v>
      </c>
      <c r="T4" s="97" t="s">
        <v>10</v>
      </c>
      <c r="U4" s="99" t="s">
        <v>11</v>
      </c>
      <c r="V4" s="97" t="s">
        <v>10</v>
      </c>
      <c r="W4" s="27"/>
      <c r="X4" s="27"/>
      <c r="Y4" s="27"/>
      <c r="Z4" s="27"/>
      <c r="AA4" s="27"/>
      <c r="AB4" s="28"/>
    </row>
    <row r="5" spans="1:28" s="7" customFormat="1" ht="43.5" thickBot="1" x14ac:dyDescent="0.3">
      <c r="A5" s="103"/>
      <c r="B5" s="105"/>
      <c r="C5" s="107"/>
      <c r="D5" s="107"/>
      <c r="E5" s="111"/>
      <c r="F5" s="109"/>
      <c r="G5" s="100"/>
      <c r="H5" s="98"/>
      <c r="I5" s="100"/>
      <c r="J5" s="98"/>
      <c r="K5" s="100"/>
      <c r="L5" s="98"/>
      <c r="M5" s="100"/>
      <c r="N5" s="98"/>
      <c r="O5" s="100"/>
      <c r="P5" s="98"/>
      <c r="Q5" s="100"/>
      <c r="R5" s="98"/>
      <c r="S5" s="100"/>
      <c r="T5" s="98"/>
      <c r="U5" s="100"/>
      <c r="V5" s="98"/>
      <c r="W5" s="29" t="s">
        <v>12</v>
      </c>
      <c r="X5" s="29" t="s">
        <v>13</v>
      </c>
      <c r="Y5" s="29" t="s">
        <v>14</v>
      </c>
      <c r="Z5" s="29" t="s">
        <v>15</v>
      </c>
      <c r="AA5" s="29" t="s">
        <v>16</v>
      </c>
      <c r="AB5" s="6" t="s">
        <v>17</v>
      </c>
    </row>
    <row r="6" spans="1:28" s="1" customFormat="1" ht="19.5" customHeight="1" x14ac:dyDescent="0.25">
      <c r="A6" s="8">
        <v>1</v>
      </c>
      <c r="B6" s="94" t="s">
        <v>38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6"/>
    </row>
    <row r="7" spans="1:28" ht="18.75" customHeight="1" x14ac:dyDescent="0.25">
      <c r="A7" s="9"/>
      <c r="B7" s="91" t="s">
        <v>39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ht="15" x14ac:dyDescent="0.25">
      <c r="A8" s="9"/>
      <c r="B8" s="10" t="s">
        <v>19</v>
      </c>
      <c r="C8" s="11" t="s">
        <v>75</v>
      </c>
      <c r="D8" s="12" t="s">
        <v>18</v>
      </c>
      <c r="E8" s="12"/>
      <c r="F8" s="30">
        <f>F29+F40+F41</f>
        <v>6023.1753799999988</v>
      </c>
      <c r="G8" s="31"/>
      <c r="H8" s="32"/>
      <c r="I8" s="31"/>
      <c r="J8" s="32"/>
      <c r="K8" s="33"/>
      <c r="L8" s="33"/>
      <c r="M8" s="34"/>
      <c r="N8" s="33"/>
      <c r="O8" s="33"/>
      <c r="P8" s="33"/>
      <c r="Q8" s="34"/>
      <c r="R8" s="33"/>
      <c r="S8" s="31"/>
      <c r="T8" s="32"/>
      <c r="U8" s="31"/>
      <c r="V8" s="32"/>
      <c r="W8" s="35"/>
      <c r="X8" s="35"/>
      <c r="Y8" s="35"/>
      <c r="Z8" s="35"/>
      <c r="AA8" s="35"/>
      <c r="AB8" s="70"/>
    </row>
    <row r="9" spans="1:28" ht="28.5" x14ac:dyDescent="0.25">
      <c r="A9" s="9"/>
      <c r="B9" s="10" t="s">
        <v>40</v>
      </c>
      <c r="C9" s="11" t="s">
        <v>117</v>
      </c>
      <c r="D9" s="12" t="s">
        <v>18</v>
      </c>
      <c r="E9" s="12"/>
      <c r="F9" s="30">
        <f>(F10+F11+F12+F13+F14+F16+F17+F20+F22)</f>
        <v>6524.8593800000008</v>
      </c>
      <c r="G9" s="31"/>
      <c r="H9" s="32"/>
      <c r="I9" s="31"/>
      <c r="J9" s="32"/>
      <c r="K9" s="33"/>
      <c r="L9" s="33"/>
      <c r="M9" s="34"/>
      <c r="N9" s="33"/>
      <c r="O9" s="33"/>
      <c r="P9" s="33"/>
      <c r="Q9" s="34"/>
      <c r="R9" s="33"/>
      <c r="S9" s="31"/>
      <c r="T9" s="32"/>
      <c r="U9" s="31"/>
      <c r="V9" s="32"/>
      <c r="W9" s="35"/>
      <c r="X9" s="35"/>
      <c r="Y9" s="35"/>
      <c r="Z9" s="35"/>
      <c r="AA9" s="35"/>
      <c r="AB9" s="70"/>
    </row>
    <row r="10" spans="1:28" ht="45" x14ac:dyDescent="0.25">
      <c r="A10" s="9"/>
      <c r="B10" s="10" t="s">
        <v>41</v>
      </c>
      <c r="C10" s="14" t="s">
        <v>152</v>
      </c>
      <c r="D10" s="12" t="s">
        <v>18</v>
      </c>
      <c r="E10" s="62">
        <v>1</v>
      </c>
      <c r="F10" s="30">
        <f>(G10+I10+K10+M10+O10+Q10+S10+U10)*E10</f>
        <v>68.929999999999993</v>
      </c>
      <c r="G10" s="31">
        <v>30.99</v>
      </c>
      <c r="H10" s="32"/>
      <c r="I10" s="31">
        <f>26.85+11.09</f>
        <v>37.94</v>
      </c>
      <c r="J10" s="32"/>
      <c r="K10" s="33"/>
      <c r="L10" s="33"/>
      <c r="M10" s="34"/>
      <c r="N10" s="33"/>
      <c r="O10" s="33"/>
      <c r="P10" s="33"/>
      <c r="Q10" s="34"/>
      <c r="R10" s="33"/>
      <c r="S10" s="31"/>
      <c r="T10" s="32"/>
      <c r="U10" s="31"/>
      <c r="V10" s="32"/>
      <c r="W10" s="35"/>
      <c r="X10" s="35"/>
      <c r="Y10" s="35"/>
      <c r="Z10" s="35"/>
      <c r="AA10" s="35"/>
      <c r="AB10" s="70" t="s">
        <v>50</v>
      </c>
    </row>
    <row r="11" spans="1:28" ht="45" x14ac:dyDescent="0.25">
      <c r="A11" s="9"/>
      <c r="B11" s="10" t="s">
        <v>42</v>
      </c>
      <c r="C11" s="14" t="s">
        <v>153</v>
      </c>
      <c r="D11" s="12" t="s">
        <v>18</v>
      </c>
      <c r="E11" s="62">
        <v>1</v>
      </c>
      <c r="F11" s="30">
        <f>(G11+I11+K11+M11+O11+Q11+S11+U11)*E11</f>
        <v>211.85000000000002</v>
      </c>
      <c r="G11" s="31">
        <f>20.74+14.19+4.29+8.97+25.25+9.23-H11</f>
        <v>75.61</v>
      </c>
      <c r="H11" s="32">
        <f xml:space="preserve"> 1.02+0.11+0.18+1.24+0.11+0.18+0.56+0.35+0.23+0.3+0.18+0.63+1.21+0.23+0.35+0.18</f>
        <v>7.06</v>
      </c>
      <c r="I11" s="31">
        <f>14.53+10.78+9.63+2.34+0.64+1.71+8.22+3.79+4.62+6.28+3.35+3.81+5.66+4.34+4.8+4.82+3.25+2.62+3.12+2.43+1.62+50.51-J11</f>
        <v>136.24</v>
      </c>
      <c r="J11" s="32">
        <f>0.84+0.18+1.82+0.28+0.18+0.59+12.74</f>
        <v>16.63</v>
      </c>
      <c r="K11" s="33"/>
      <c r="L11" s="33"/>
      <c r="M11" s="34"/>
      <c r="N11" s="33"/>
      <c r="O11" s="33"/>
      <c r="P11" s="33"/>
      <c r="Q11" s="34"/>
      <c r="R11" s="33"/>
      <c r="S11" s="31"/>
      <c r="T11" s="32"/>
      <c r="U11" s="31"/>
      <c r="V11" s="32"/>
      <c r="W11" s="35"/>
      <c r="X11" s="35"/>
      <c r="Y11" s="35"/>
      <c r="Z11" s="35"/>
      <c r="AA11" s="35"/>
      <c r="AB11" s="70" t="s">
        <v>194</v>
      </c>
    </row>
    <row r="12" spans="1:28" ht="45" x14ac:dyDescent="0.25">
      <c r="A12" s="9"/>
      <c r="B12" s="10" t="s">
        <v>43</v>
      </c>
      <c r="C12" s="19" t="s">
        <v>154</v>
      </c>
      <c r="D12" s="12" t="s">
        <v>18</v>
      </c>
      <c r="E12" s="62">
        <v>1</v>
      </c>
      <c r="F12" s="30">
        <f>(G12+I12+K12+M12+O12+Q12+S12+U12)*E12</f>
        <v>18.0838</v>
      </c>
      <c r="G12" s="65"/>
      <c r="H12" s="67"/>
      <c r="I12" s="65">
        <f>3.67*4.99+4.99*0.45-J12</f>
        <v>18.0838</v>
      </c>
      <c r="J12" s="66">
        <f>3*1.1*0.75</f>
        <v>2.4750000000000001</v>
      </c>
      <c r="K12" s="30"/>
      <c r="L12" s="30"/>
      <c r="M12" s="67"/>
      <c r="N12" s="30"/>
      <c r="O12" s="30"/>
      <c r="P12" s="66"/>
      <c r="Q12" s="67"/>
      <c r="R12" s="30"/>
      <c r="S12" s="66"/>
      <c r="T12" s="72"/>
      <c r="U12" s="66"/>
      <c r="V12" s="72"/>
      <c r="W12" s="68"/>
      <c r="X12" s="35"/>
      <c r="Y12" s="35"/>
      <c r="Z12" s="35"/>
      <c r="AA12" s="35"/>
      <c r="AB12" s="70" t="s">
        <v>50</v>
      </c>
    </row>
    <row r="13" spans="1:28" ht="45" x14ac:dyDescent="0.25">
      <c r="A13" s="9"/>
      <c r="B13" s="10" t="s">
        <v>44</v>
      </c>
      <c r="C13" s="19" t="s">
        <v>199</v>
      </c>
      <c r="D13" s="12" t="s">
        <v>18</v>
      </c>
      <c r="E13" s="62">
        <v>1</v>
      </c>
      <c r="F13" s="30">
        <f>(G13+I13+K13+M13+O13+Q13+S13+U13)*E13</f>
        <v>127.73240000000003</v>
      </c>
      <c r="G13" s="65">
        <f>257.62-H13</f>
        <v>120.44600000000003</v>
      </c>
      <c r="H13" s="66">
        <f>2.14*3.96+4*2.14*4.22+3*2.14*0.98+2.14*2.3+2*2.14*4.22+2*2.14*0.98+2*2.14*4.22+2.14*2.3+4*2.14*4.22</f>
        <v>137.17399999999998</v>
      </c>
      <c r="I13" s="66">
        <f>3.06*(3.96+3.96)-J13</f>
        <v>7.2863999999999969</v>
      </c>
      <c r="J13" s="66">
        <f>2*2.14*3.96</f>
        <v>16.948800000000002</v>
      </c>
      <c r="K13" s="30"/>
      <c r="L13" s="30"/>
      <c r="M13" s="67"/>
      <c r="N13" s="30"/>
      <c r="O13" s="30"/>
      <c r="P13" s="66"/>
      <c r="Q13" s="67"/>
      <c r="R13" s="66"/>
      <c r="S13" s="30"/>
      <c r="T13" s="30"/>
      <c r="U13" s="67"/>
      <c r="V13" s="30"/>
      <c r="W13" s="68"/>
      <c r="X13" s="35"/>
      <c r="Y13" s="35"/>
      <c r="Z13" s="35"/>
      <c r="AA13" s="35"/>
      <c r="AB13" s="70" t="s">
        <v>208</v>
      </c>
    </row>
    <row r="14" spans="1:28" ht="60" x14ac:dyDescent="0.25">
      <c r="A14" s="9"/>
      <c r="B14" s="10" t="s">
        <v>45</v>
      </c>
      <c r="C14" s="19" t="s">
        <v>183</v>
      </c>
      <c r="D14" s="12" t="s">
        <v>18</v>
      </c>
      <c r="E14" s="62">
        <v>1</v>
      </c>
      <c r="F14" s="30">
        <f>((G14+I14+K14+M14+O14+Q14+S14+U14)+68.8*2)*E14</f>
        <v>1516.2646</v>
      </c>
      <c r="G14" s="65">
        <f>475.78+77.29-H14-257.62</f>
        <v>244.32999999999993</v>
      </c>
      <c r="H14" s="66">
        <f>2.14*1.62+2.14*1.62+2.14*1.62+3*2.14*0.86+1.9*1+4*2.14*0.86+3*2.14*0.86+2*2.14*3.96+2.14*1.62</f>
        <v>51.12</v>
      </c>
      <c r="I14" s="66">
        <f>71.45+14.09-3.06*(3.96+3.96)-J14</f>
        <v>54.371200000000009</v>
      </c>
      <c r="J14" s="66">
        <f>2.14*1.62+2.14*1.62</f>
        <v>6.9336000000000011</v>
      </c>
      <c r="K14" s="66">
        <f>494.49+99.39-L14-2.27*(1.01+1.01+13*0.98)+2.74*(1.01+1.01)</f>
        <v>370.22800000000001</v>
      </c>
      <c r="L14" s="66">
        <f>2*2.14*1.62+2*2.14*1.62+2*2.14*0.86+28*2.14*1.95+2*2.14*0.98+2*2.14*2.3+2*2.14*3.48+3*2.14*0.86+4*2.14*1.82+2.14*1.62+2*2.14*1.82</f>
        <v>195.6816</v>
      </c>
      <c r="M14" s="65">
        <f>70.09+16.49-N14-2.27*(1.01+1.01)</f>
        <v>59.4818</v>
      </c>
      <c r="N14" s="66">
        <f>2*2.14*1.62+4*2.14*1.82</f>
        <v>22.512800000000002</v>
      </c>
      <c r="O14" s="65">
        <f>429.4+72.55-P14-3.13*(1.01+1.01+0.98+0.98+0.99+0.98+0.98+0.98+0.98+0.98+0.98+0.98+0.98+0.98+0.98+1.01+1.02)</f>
        <v>234.29599999999999</v>
      </c>
      <c r="P14" s="66">
        <f>2*2.14*1.62+2*2.14*3.48+14*2.14*4.22+2*2.14*0.98+2*2.14*2.3+2*2.14*3.48+3*2.14*0.86+2*2.14*3.96+2.14*1.62+2.14*1.62+2.14*3.96</f>
        <v>215.07</v>
      </c>
      <c r="Q14" s="65">
        <f>60.94+11.24-R14-3.13*(1.01+0.98+1.01)</f>
        <v>38.907599999999988</v>
      </c>
      <c r="R14" s="66">
        <f>2*2.14*1.62+2*2.14*3.96</f>
        <v>23.882400000000004</v>
      </c>
      <c r="S14" s="65">
        <f>49.5+31.41+93.18+216.01+93.84+35.01+2.85-30.8-15.46-T14</f>
        <v>307.14620000000008</v>
      </c>
      <c r="T14" s="65">
        <f>2*2.14*1.62+2.14*3.96+2*1.67*3.48+0.7*1.55+14*1.96*4.22+2*1.96*0.98+1.96*2.3+1.96*2.3+2*1.67*3.48</f>
        <v>168.3938</v>
      </c>
      <c r="U14" s="65">
        <f>4.53*4.16+4.16*(0.91+3.96+0.92+3.96+0.73+3.57)+7.28*2.78-V14</f>
        <v>69.903800000000004</v>
      </c>
      <c r="V14" s="65">
        <f>2*2.14*1.62+2*2.14*3.96+2.14*1.75</f>
        <v>27.627400000000005</v>
      </c>
      <c r="W14" s="68"/>
      <c r="X14" s="35"/>
      <c r="Y14" s="35"/>
      <c r="Z14" s="35"/>
      <c r="AA14" s="35"/>
      <c r="AB14" s="70" t="s">
        <v>193</v>
      </c>
    </row>
    <row r="15" spans="1:28" s="87" customFormat="1" ht="60" hidden="1" x14ac:dyDescent="0.25">
      <c r="A15" s="83"/>
      <c r="B15" s="80" t="s">
        <v>46</v>
      </c>
      <c r="C15" s="84" t="s">
        <v>51</v>
      </c>
      <c r="D15" s="82" t="s">
        <v>18</v>
      </c>
      <c r="E15" s="85">
        <v>1</v>
      </c>
      <c r="F15" s="68">
        <f t="shared" ref="F15:F21" si="0">(G15+I15+K15+M15+O15+Q15+S15+U15)</f>
        <v>178.56460000000001</v>
      </c>
      <c r="G15" s="67"/>
      <c r="H15" s="67"/>
      <c r="I15" s="67"/>
      <c r="J15" s="67"/>
      <c r="K15" s="67">
        <f>2.27*(1.01+1.01+13*0.98)+2.74*(1.01+1.01)</f>
        <v>39.040000000000006</v>
      </c>
      <c r="L15" s="67"/>
      <c r="M15" s="67">
        <f>2.27*(1.01+1.01)-N15</f>
        <v>4.5853999999999999</v>
      </c>
      <c r="N15" s="68"/>
      <c r="O15" s="67">
        <f>3.13*(1.01+1.01+0.98+0.98+0.99+0.98+0.98+0.98+0.98+0.98+0.98+0.98+0.98+0.98+0.98+1.01+1.02)-P15</f>
        <v>52.58400000000001</v>
      </c>
      <c r="P15" s="67"/>
      <c r="Q15" s="67">
        <f>3.13*(1.01+0.98+1.01)-R15</f>
        <v>9.39</v>
      </c>
      <c r="R15" s="67"/>
      <c r="S15" s="67">
        <f>8.4+21.41+30.8</f>
        <v>60.61</v>
      </c>
      <c r="T15" s="67"/>
      <c r="U15" s="67">
        <f>4.16*(1.01+0.98+0.98)</f>
        <v>12.3552</v>
      </c>
      <c r="V15" s="67"/>
      <c r="W15" s="68"/>
      <c r="X15" s="35"/>
      <c r="Y15" s="35"/>
      <c r="Z15" s="35"/>
      <c r="AA15" s="35"/>
      <c r="AB15" s="86" t="s">
        <v>50</v>
      </c>
    </row>
    <row r="16" spans="1:28" ht="60" x14ac:dyDescent="0.25">
      <c r="A16" s="9"/>
      <c r="B16" s="10" t="s">
        <v>160</v>
      </c>
      <c r="C16" s="19" t="s">
        <v>203</v>
      </c>
      <c r="D16" s="12" t="s">
        <v>18</v>
      </c>
      <c r="E16" s="62">
        <v>1</v>
      </c>
      <c r="F16" s="30">
        <f>((G16+I16+K16+M16+O16+Q16+S16+U16)+178.56)*E16</f>
        <v>250.96</v>
      </c>
      <c r="G16" s="65"/>
      <c r="H16" s="66"/>
      <c r="I16" s="66">
        <f>0.75+2.27+1.49+5.69+4*15.55</f>
        <v>72.400000000000006</v>
      </c>
      <c r="J16" s="66"/>
      <c r="K16" s="30"/>
      <c r="L16" s="30"/>
      <c r="M16" s="65"/>
      <c r="N16" s="66"/>
      <c r="O16" s="30"/>
      <c r="P16" s="66"/>
      <c r="Q16" s="65"/>
      <c r="R16" s="66"/>
      <c r="S16" s="65"/>
      <c r="T16" s="65"/>
      <c r="U16" s="65"/>
      <c r="V16" s="65"/>
      <c r="W16" s="68"/>
      <c r="X16" s="35"/>
      <c r="Y16" s="35"/>
      <c r="Z16" s="35"/>
      <c r="AA16" s="35"/>
      <c r="AB16" s="70" t="s">
        <v>195</v>
      </c>
    </row>
    <row r="17" spans="1:28" ht="60" x14ac:dyDescent="0.25">
      <c r="A17" s="9"/>
      <c r="B17" s="10" t="s">
        <v>46</v>
      </c>
      <c r="C17" s="19" t="s">
        <v>184</v>
      </c>
      <c r="D17" s="12" t="s">
        <v>18</v>
      </c>
      <c r="E17" s="62">
        <v>1</v>
      </c>
      <c r="F17" s="30">
        <f>((G17+I17+K17+M17+O17+Q17+S17+U17)+35.31)*E17</f>
        <v>3770.4404800000002</v>
      </c>
      <c r="G17" s="65">
        <f>616.52-H17</f>
        <v>490.93447999999995</v>
      </c>
      <c r="H17" s="66">
        <f>2.14*1.12+2.06*1.11+2.14*1.75+4*2.14*0.827+1.9*1+2.06*1.11+2.06*1.71+3*0.86*2.14+2.14*1.62+2*2.14*4.22+2.14*1.62+2.14*1.75+2.14*1.75+2.14*3.96+2.14*4.22+2*2.14*1.62+3*2.14*0.86+2.06*1.11+2.06*1.71+2.14*1.62+2*2.14*0.86+2.14*0.71+2.06*1.11+2.06*1.35+2.06*1.71+2.14*1.62+2*2.06*1.91</f>
        <v>125.58552000000003</v>
      </c>
      <c r="I17" s="66">
        <f>483.71-J17-(0.75+2.27+1.49+5.69+4*15.55)</f>
        <v>337.60429999999997</v>
      </c>
      <c r="J17" s="66">
        <f>7*2.14*0.86+2.14*1.75+1.52*0.86*2+2.06*1.71+2.06*1.01+5*2.14*1.62+2.06*1.24+1.1*1.11+2.06*1.58+2.06*1.35+1.55*1.55+3*2.14*1.65+2*2.14*0.68+2.06*1.11+2.06*1.71</f>
        <v>73.705700000000007</v>
      </c>
      <c r="K17" s="66">
        <f>603.36-L17</f>
        <v>460.52499999999998</v>
      </c>
      <c r="L17" s="66">
        <f>2.14*1.12+2.14*0.86+2.14*1.75+3*2.14*0.86+10.46*1.5+3*2.14*0.86+2.14*1.62+2*2.14*4.22+2.14*1.62+2.14*1.75+2.14*1.75+2.14*3.96+2.14*4.22+2*2.14*1.62+3*2.14*0.86+10.46*1.5+4*2.14*0.86+2.14*1.62+10.46*1.5+2.14*1.62</f>
        <v>142.83500000000001</v>
      </c>
      <c r="M17" s="65">
        <f>473.76-N17-2.72*(1.04+1.05+1.04+1.04+1.04)</f>
        <v>344.87239999999997</v>
      </c>
      <c r="N17" s="66">
        <f>2.14*0.86+3*2.14*1.75+2*10.46*0.74+2*2.14*1.62+2*4.28*2.53+2*2.14*1.62+9*2.14*1.62+2.14*1.75+10.46*1.5</f>
        <v>114.71640000000001</v>
      </c>
      <c r="O17" s="66">
        <f>526.28-P17-4.83</f>
        <v>430.99860000000001</v>
      </c>
      <c r="P17" s="66">
        <f>4*2.14*0.86+2.14*1.75+3*2.14*0.86+2.14*1.62+2*2.14*4.22+2.14*1.62+2.14*1.75+2.14*1.75+2.14*3.96+2.14*4.22+2*2.14*1.62+3*2.14*0.86+4*2.14*0.86+2.14*1.62+0.55*1</f>
        <v>90.451399999999992</v>
      </c>
      <c r="Q17" s="65">
        <f>412.53-R17-3.13*(1.04+1.04+1.05+1.04+1.04)</f>
        <v>368.16109999999998</v>
      </c>
      <c r="R17" s="66">
        <f>3*2.14*0.86+2.14*1.75+3*2.14*1.62+2.14*1.75+3*1*1.55</f>
        <v>28.061600000000006</v>
      </c>
      <c r="S17" s="65">
        <f>14.47+68.57+11.6+10.37+9.7+0.79+31.43+17.37+11.26+8.89+21.77+58.12+16.28+58.12+27.25+8.64+123.34+25.59+11.72+10.37+69.56+3.69+11.37+17.16+3.35+13.89+2.11+11.09+18.69+22+0.03+9.47+58.31+2.49+28.06+59.53+13.09-2.49-2*3.79-T17</f>
        <v>805.37080000000003</v>
      </c>
      <c r="T17" s="65">
        <f>4*2.14*0.86+2.14*1.75+2.06*1.01+2.14*1.75+2.14*1.75+2.14*3.96+2.14*4.22+2*2.14*1.62+3*1.67*0.86+2.14*0.86+3*2.14*1.62+2*2.14*1.62+2.06*1.66+2.06*1.01</f>
        <v>74.09920000000001</v>
      </c>
      <c r="U17" s="65">
        <f>34.19+6.15*6.09+21.7+5.42*6.06+5.42*3.77+42.36+1+62.36+1.17*(6.15+2.27)+47.49+9.07*4.87+4.87*1.33+1.74*1.33+28.18+2.49*1.52+8.6*3.84+(1.93+4.36)*7.63+5.42*3.6+3.64*4.54-V17</f>
        <v>496.66380000000015</v>
      </c>
      <c r="V17" s="65">
        <f>3*2.14*0.86+2.14*1.75+2.06*0.96+2.06*1.01+1.66*1.01</f>
        <v>15.001000000000001</v>
      </c>
      <c r="W17" s="68"/>
      <c r="X17" s="35"/>
      <c r="Y17" s="35"/>
      <c r="Z17" s="35"/>
      <c r="AA17" s="35"/>
      <c r="AB17" s="70" t="s">
        <v>196</v>
      </c>
    </row>
    <row r="18" spans="1:28" s="87" customFormat="1" ht="60" hidden="1" x14ac:dyDescent="0.25">
      <c r="A18" s="83"/>
      <c r="B18" s="80" t="s">
        <v>48</v>
      </c>
      <c r="C18" s="84" t="s">
        <v>52</v>
      </c>
      <c r="D18" s="82" t="s">
        <v>18</v>
      </c>
      <c r="E18" s="85">
        <v>1</v>
      </c>
      <c r="F18" s="68">
        <f t="shared" si="0"/>
        <v>68.804299999999984</v>
      </c>
      <c r="G18" s="67">
        <f>3.07*(3.98+3.98+3.98)-H18</f>
        <v>19.246799999999997</v>
      </c>
      <c r="H18" s="67">
        <f>(1*0.5*0.15)+5*2.14*1.62</f>
        <v>17.409000000000002</v>
      </c>
      <c r="I18" s="67">
        <f>3.67*(12.03)-J18</f>
        <v>18.269699999999993</v>
      </c>
      <c r="J18" s="67">
        <f>6*1.58*2.73</f>
        <v>25.880400000000002</v>
      </c>
      <c r="K18" s="68"/>
      <c r="L18" s="68"/>
      <c r="M18" s="67">
        <f>2.99*(4.02*3)-N18</f>
        <v>7.7141999999999946</v>
      </c>
      <c r="N18" s="67">
        <f>6*1.58*2.99</f>
        <v>28.345200000000002</v>
      </c>
      <c r="O18" s="68"/>
      <c r="P18" s="67"/>
      <c r="Q18" s="67"/>
      <c r="R18" s="67"/>
      <c r="S18" s="67"/>
      <c r="T18" s="67"/>
      <c r="U18" s="67">
        <f>7.28*2.12+2*4.07</f>
        <v>23.573600000000003</v>
      </c>
      <c r="V18" s="67"/>
      <c r="W18" s="68"/>
      <c r="X18" s="35"/>
      <c r="Y18" s="35"/>
      <c r="Z18" s="35"/>
      <c r="AA18" s="35"/>
      <c r="AB18" s="86" t="s">
        <v>157</v>
      </c>
    </row>
    <row r="19" spans="1:28" s="87" customFormat="1" ht="60" hidden="1" x14ac:dyDescent="0.25">
      <c r="A19" s="83"/>
      <c r="B19" s="80" t="s">
        <v>49</v>
      </c>
      <c r="C19" s="84" t="s">
        <v>53</v>
      </c>
      <c r="D19" s="82" t="s">
        <v>18</v>
      </c>
      <c r="E19" s="85">
        <v>1</v>
      </c>
      <c r="F19" s="68">
        <f t="shared" si="0"/>
        <v>35.308499999999995</v>
      </c>
      <c r="G19" s="67"/>
      <c r="H19" s="67"/>
      <c r="I19" s="67"/>
      <c r="J19" s="67"/>
      <c r="K19" s="68"/>
      <c r="L19" s="68"/>
      <c r="M19" s="67">
        <f>2.72*(1.04+1.05+1.04+1.04+1.04)</f>
        <v>14.171200000000001</v>
      </c>
      <c r="N19" s="68"/>
      <c r="O19" s="67">
        <v>4.83</v>
      </c>
      <c r="P19" s="67"/>
      <c r="Q19" s="67">
        <f>3.13*(1.04+1.04+1.05+1.04+1.04)</f>
        <v>16.307299999999998</v>
      </c>
      <c r="R19" s="67"/>
      <c r="S19" s="67"/>
      <c r="T19" s="67"/>
      <c r="U19" s="67"/>
      <c r="V19" s="67"/>
      <c r="W19" s="68"/>
      <c r="X19" s="35"/>
      <c r="Y19" s="35"/>
      <c r="Z19" s="35"/>
      <c r="AA19" s="35"/>
      <c r="AB19" s="86" t="s">
        <v>158</v>
      </c>
    </row>
    <row r="20" spans="1:28" ht="60" x14ac:dyDescent="0.25">
      <c r="A20" s="9"/>
      <c r="B20" s="10" t="s">
        <v>47</v>
      </c>
      <c r="C20" s="19" t="s">
        <v>185</v>
      </c>
      <c r="D20" s="12" t="s">
        <v>18</v>
      </c>
      <c r="E20" s="62">
        <v>1</v>
      </c>
      <c r="F20" s="30">
        <f>((G20+I20+K20+M20+O20+Q20+S20+U20)+32.07)*E20</f>
        <v>493.21809999999999</v>
      </c>
      <c r="G20" s="65">
        <f>144.23-H20-3.07*(3.98+3.98+3.98)</f>
        <v>86.348199999999991</v>
      </c>
      <c r="H20" s="66">
        <f>2.14*1.62+2*1.58*5.62</f>
        <v>21.225999999999999</v>
      </c>
      <c r="I20" s="65">
        <f>89.33-J20-3.67*(12.03)</f>
        <v>27.420699999999997</v>
      </c>
      <c r="J20" s="66">
        <f>2*1.58*5.62</f>
        <v>17.7592</v>
      </c>
      <c r="K20" s="66">
        <f>141.84-L20-4.72</f>
        <v>82.713200000000001</v>
      </c>
      <c r="L20" s="66">
        <f>2.14*1.62+6*5.66*1.5</f>
        <v>54.406799999999997</v>
      </c>
      <c r="M20" s="65">
        <f>87.55-2.99*(4.02*3)</f>
        <v>51.490600000000001</v>
      </c>
      <c r="N20" s="30"/>
      <c r="O20" s="66">
        <f>123.57-7.23*(1.04+1.04)</f>
        <v>108.5316</v>
      </c>
      <c r="P20" s="66"/>
      <c r="Q20" s="65">
        <f>76.18-R20-1.04*2*5.92</f>
        <v>36.131999999999998</v>
      </c>
      <c r="R20" s="66">
        <f>8*2.14*1.62</f>
        <v>27.734400000000004</v>
      </c>
      <c r="S20" s="65">
        <f>1.17*11.99</f>
        <v>14.0283</v>
      </c>
      <c r="T20" s="65"/>
      <c r="U20" s="65">
        <f>1.07*9.05+52.94-2*4.07</f>
        <v>54.483499999999999</v>
      </c>
      <c r="V20" s="65"/>
      <c r="W20" s="68"/>
      <c r="X20" s="35"/>
      <c r="Y20" s="35"/>
      <c r="Z20" s="35"/>
      <c r="AA20" s="35"/>
      <c r="AB20" s="70" t="s">
        <v>191</v>
      </c>
    </row>
    <row r="21" spans="1:28" s="87" customFormat="1" ht="60" hidden="1" x14ac:dyDescent="0.25">
      <c r="A21" s="83"/>
      <c r="B21" s="80"/>
      <c r="C21" s="84" t="s">
        <v>54</v>
      </c>
      <c r="D21" s="82" t="s">
        <v>18</v>
      </c>
      <c r="E21" s="85">
        <v>1</v>
      </c>
      <c r="F21" s="68">
        <f t="shared" si="0"/>
        <v>32.073599999999999</v>
      </c>
      <c r="G21" s="67"/>
      <c r="H21" s="67"/>
      <c r="I21" s="67"/>
      <c r="J21" s="67"/>
      <c r="K21" s="67">
        <f>2.27*(1.04+1.04)</f>
        <v>4.7216000000000005</v>
      </c>
      <c r="L21" s="68"/>
      <c r="M21" s="67"/>
      <c r="N21" s="68"/>
      <c r="O21" s="67">
        <f>7.23*(1.04+1.04)</f>
        <v>15.038400000000001</v>
      </c>
      <c r="P21" s="67"/>
      <c r="Q21" s="67">
        <f>1.04*2*5.92</f>
        <v>12.313600000000001</v>
      </c>
      <c r="R21" s="67"/>
      <c r="S21" s="67"/>
      <c r="T21" s="67"/>
      <c r="U21" s="67"/>
      <c r="V21" s="67"/>
      <c r="W21" s="68"/>
      <c r="X21" s="35"/>
      <c r="Y21" s="35"/>
      <c r="Z21" s="35"/>
      <c r="AA21" s="35"/>
      <c r="AB21" s="86" t="s">
        <v>50</v>
      </c>
    </row>
    <row r="22" spans="1:28" ht="60" x14ac:dyDescent="0.25">
      <c r="A22" s="9"/>
      <c r="B22" s="10" t="s">
        <v>161</v>
      </c>
      <c r="C22" s="19" t="s">
        <v>186</v>
      </c>
      <c r="D22" s="12" t="s">
        <v>18</v>
      </c>
      <c r="E22" s="62">
        <v>1</v>
      </c>
      <c r="F22" s="30">
        <f>(35.31+32.07)*E22</f>
        <v>67.38</v>
      </c>
      <c r="G22" s="65"/>
      <c r="H22" s="67"/>
      <c r="I22" s="65"/>
      <c r="J22" s="67"/>
      <c r="K22" s="66"/>
      <c r="L22" s="30"/>
      <c r="M22" s="67"/>
      <c r="N22" s="30"/>
      <c r="O22" s="66"/>
      <c r="P22" s="66"/>
      <c r="Q22" s="65"/>
      <c r="R22" s="66"/>
      <c r="S22" s="65"/>
      <c r="T22" s="65"/>
      <c r="U22" s="65"/>
      <c r="V22" s="65"/>
      <c r="W22" s="68"/>
      <c r="X22" s="35"/>
      <c r="Y22" s="35"/>
      <c r="Z22" s="35"/>
      <c r="AA22" s="35"/>
      <c r="AB22" s="70" t="s">
        <v>192</v>
      </c>
    </row>
    <row r="23" spans="1:28" ht="18.75" customHeight="1" x14ac:dyDescent="0.25">
      <c r="A23" s="9"/>
      <c r="B23" s="88" t="s">
        <v>180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</row>
    <row r="24" spans="1:28" ht="57" x14ac:dyDescent="0.25">
      <c r="A24" s="9"/>
      <c r="B24" s="23" t="s">
        <v>21</v>
      </c>
      <c r="C24" s="60" t="s">
        <v>136</v>
      </c>
      <c r="D24" s="16" t="s">
        <v>18</v>
      </c>
      <c r="E24" s="16"/>
      <c r="F24" s="30">
        <f>F26</f>
        <v>6023.1753799999988</v>
      </c>
      <c r="G24" s="40"/>
      <c r="H24" s="41"/>
      <c r="I24" s="40"/>
      <c r="J24" s="41"/>
      <c r="K24" s="42"/>
      <c r="L24" s="42"/>
      <c r="M24" s="41"/>
      <c r="N24" s="42"/>
      <c r="O24" s="42"/>
      <c r="P24" s="42"/>
      <c r="Q24" s="41"/>
      <c r="R24" s="42"/>
      <c r="S24" s="42"/>
      <c r="T24" s="42"/>
      <c r="U24" s="41"/>
      <c r="V24" s="42"/>
      <c r="W24" s="43"/>
      <c r="X24" s="43"/>
      <c r="Y24" s="43"/>
      <c r="Z24" s="43"/>
      <c r="AA24" s="43"/>
      <c r="AB24" s="13"/>
    </row>
    <row r="25" spans="1:28" ht="18.75" customHeight="1" x14ac:dyDescent="0.25">
      <c r="A25" s="9"/>
      <c r="B25" s="88" t="s">
        <v>55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90"/>
    </row>
    <row r="26" spans="1:28" ht="28.5" x14ac:dyDescent="0.25">
      <c r="A26" s="9"/>
      <c r="B26" s="23" t="s">
        <v>23</v>
      </c>
      <c r="C26" s="11" t="s">
        <v>106</v>
      </c>
      <c r="D26" s="12" t="s">
        <v>18</v>
      </c>
      <c r="E26" s="12"/>
      <c r="F26" s="30">
        <f>F29+F39</f>
        <v>6023.1753799999988</v>
      </c>
      <c r="G26" s="31"/>
      <c r="H26" s="32"/>
      <c r="I26" s="31"/>
      <c r="J26" s="32"/>
      <c r="K26" s="33"/>
      <c r="L26" s="33"/>
      <c r="M26" s="34"/>
      <c r="N26" s="33"/>
      <c r="O26" s="33"/>
      <c r="P26" s="33"/>
      <c r="Q26" s="34"/>
      <c r="R26" s="33"/>
      <c r="S26" s="31"/>
      <c r="T26" s="32"/>
      <c r="U26" s="31"/>
      <c r="V26" s="32"/>
      <c r="W26" s="35"/>
      <c r="X26" s="35"/>
      <c r="Y26" s="35"/>
      <c r="Z26" s="35"/>
      <c r="AA26" s="35"/>
      <c r="AB26" s="13"/>
    </row>
    <row r="27" spans="1:28" ht="15" x14ac:dyDescent="0.25">
      <c r="A27" s="9"/>
      <c r="B27" s="10" t="s">
        <v>163</v>
      </c>
      <c r="C27" s="14" t="s">
        <v>165</v>
      </c>
      <c r="D27" s="12"/>
      <c r="E27" s="12"/>
      <c r="F27" s="30">
        <f>F29</f>
        <v>5820.6276799999987</v>
      </c>
      <c r="G27" s="31"/>
      <c r="H27" s="32"/>
      <c r="I27" s="31"/>
      <c r="J27" s="32"/>
      <c r="K27" s="33"/>
      <c r="L27" s="33"/>
      <c r="M27" s="34"/>
      <c r="N27" s="33"/>
      <c r="O27" s="33"/>
      <c r="P27" s="33"/>
      <c r="Q27" s="34"/>
      <c r="R27" s="33"/>
      <c r="S27" s="31"/>
      <c r="T27" s="32"/>
      <c r="U27" s="31"/>
      <c r="V27" s="32"/>
      <c r="W27" s="35"/>
      <c r="X27" s="35"/>
      <c r="Y27" s="35"/>
      <c r="Z27" s="35"/>
      <c r="AA27" s="35"/>
      <c r="AB27" s="13" t="s">
        <v>207</v>
      </c>
    </row>
    <row r="28" spans="1:28" ht="15" x14ac:dyDescent="0.25">
      <c r="A28" s="9"/>
      <c r="B28" s="10" t="s">
        <v>164</v>
      </c>
      <c r="C28" s="14" t="s">
        <v>166</v>
      </c>
      <c r="D28" s="12"/>
      <c r="E28" s="12"/>
      <c r="F28" s="30">
        <f>F39</f>
        <v>202.54770000000002</v>
      </c>
      <c r="G28" s="31"/>
      <c r="H28" s="32"/>
      <c r="I28" s="31"/>
      <c r="J28" s="32"/>
      <c r="K28" s="33"/>
      <c r="L28" s="33"/>
      <c r="M28" s="34"/>
      <c r="N28" s="33"/>
      <c r="O28" s="33"/>
      <c r="P28" s="33"/>
      <c r="Q28" s="34"/>
      <c r="R28" s="33"/>
      <c r="S28" s="31"/>
      <c r="T28" s="32"/>
      <c r="U28" s="31"/>
      <c r="V28" s="32"/>
      <c r="W28" s="35"/>
      <c r="X28" s="35"/>
      <c r="Y28" s="35"/>
      <c r="Z28" s="35"/>
      <c r="AA28" s="35"/>
      <c r="AB28" s="13"/>
    </row>
    <row r="29" spans="1:28" ht="15" x14ac:dyDescent="0.2">
      <c r="A29" s="9"/>
      <c r="B29" s="23" t="s">
        <v>57</v>
      </c>
      <c r="C29" s="25" t="s">
        <v>167</v>
      </c>
      <c r="D29" s="12" t="s">
        <v>18</v>
      </c>
      <c r="E29" s="12"/>
      <c r="F29" s="30">
        <f>F30</f>
        <v>5820.6276799999987</v>
      </c>
      <c r="G29" s="31"/>
      <c r="H29" s="32"/>
      <c r="I29" s="31"/>
      <c r="J29" s="32"/>
      <c r="K29" s="33"/>
      <c r="L29" s="33"/>
      <c r="M29" s="34"/>
      <c r="N29" s="33"/>
      <c r="O29" s="33"/>
      <c r="P29" s="33"/>
      <c r="Q29" s="34"/>
      <c r="R29" s="33"/>
      <c r="S29" s="31"/>
      <c r="T29" s="32"/>
      <c r="U29" s="31"/>
      <c r="V29" s="32"/>
      <c r="W29" s="35"/>
      <c r="X29" s="35"/>
      <c r="Y29" s="35"/>
      <c r="Z29" s="35"/>
      <c r="AA29" s="35"/>
      <c r="AB29" s="13"/>
    </row>
    <row r="30" spans="1:28" ht="45" x14ac:dyDescent="0.25">
      <c r="A30" s="9"/>
      <c r="B30" s="10" t="s">
        <v>58</v>
      </c>
      <c r="C30" s="14" t="s">
        <v>179</v>
      </c>
      <c r="D30" s="12" t="s">
        <v>18</v>
      </c>
      <c r="E30" s="12"/>
      <c r="F30" s="30">
        <f>G30+I30+K30+M30+O30+Q30+S30+U30+F31+F32+F33</f>
        <v>5820.6276799999987</v>
      </c>
      <c r="G30" s="22">
        <f>3.67*(136.76+4.84+200.73)-H30-(3.67*(12.12+9.1+7.65+12.12+2.83)+0.74*2.14)</f>
        <v>784.71109999999976</v>
      </c>
      <c r="H30" s="31">
        <f>2.14*3.96+4*2.14*4.22+2*2.14*0.98+2.14*2.3+2*2.14*4.22+2*2.14*0.98+2*2.14*4.22+2.14*2.3+4*2.14*4.22+2.14*1.62+2.14*1.62+2.14*1.62+3*2.14*0.86+1.9*1+4*2.14*0.86+3*2.14*0.86+2*2.14*3.96+2.14*1.62+2*2.06*1.91+2.14*1.12+2.06*1.11+2.14*1.75+3*2.14*0.86+1.9*1+2.06*1.11+2.06*1.71+3*0.86*2.14+2.14*1.62+2*2.14*4.22+2.14*1.62+2.14*1.75+2.14*1.75+2.14*3.96+2.14*4.22+2*2.14*1.62+3*2.14*0.86+2.06*1.11+2.06*1.71+2.14*1.62+2*2.14*0.86+2.14*0.71+2.06*1.11+2.06*1.35+2.06*1.71+2.14*1.62+5*2.14*1.62+2.14*1.62+2*1.58*5.62-H31</f>
        <v>309.23700000000014</v>
      </c>
      <c r="I30" s="22">
        <f>3.67*178.2-J30-(3.67*(11.43+9.44)+4*0.85*2.14)</f>
        <v>403.79099999999988</v>
      </c>
      <c r="J30" s="31">
        <f>3*1.1*0.75+2*2.14*3.96+2.14*1.62+2.14*1.62+11*2.14*1.62+2.14*1.62+6*2.14*0.86+2.14*1.75+1.52*0.86+2.06*1.71+2.06*1.01+5*2.14*1.62+2.06*1.24+1.1*1.11+2.06*1.58+2.06*1.35+1.55*1.55+3*2.14*1.62+2*2.14*0.86+2.06*1.11+2.06*1.71+6*1.58*2.73+2*1.58*5.62-J31</f>
        <v>166.33410000000006</v>
      </c>
      <c r="K30" s="31">
        <f>3.6*345.04-L30-(3.6*(12.12+1.85+3.92+1.88+1.88*2+3.92+10.49+1.63+2.83)+14*2.14+2*2.14)</f>
        <v>731.34559999999999</v>
      </c>
      <c r="L30" s="31">
        <f>2*2.14*1.62+2*2.14*1.62+2*2.14*0.86+28*2.14*1.95+2*2.14*0.98+2*2.14*2.3+2*2.14*3.48+3*2.14*0.86+4*2.14*1.82+2.14*1.62+2*2.14*1.82+2.14*1.12+2.14*0.86+2.14*1.75+3*2.14*0.86+10.46*1.5+3*2.14*0.86+2.14*1.62+2*2.14*4.22+2.14*1.62+2.14*1.75+2.14*1.75+2.14*3.96+2.14*4.22+2*2.14*1.62+3*2.14*0.86+10.46*1.5+4*2.14*0.86+2.14*1.62+10.46*1.5+2.14*1.62+2.14*1.62+6*5.66*1.5-L31</f>
        <v>323.91839999999996</v>
      </c>
      <c r="M30" s="22">
        <f>3.6*(175.47)-N30-(3.6*(9.44+11.43)+2*1.2*2.14)</f>
        <v>366.88580000000002</v>
      </c>
      <c r="N30" s="31">
        <f>2*2.14*1.62+4*2.14*1.82+2.14*1.62+2.14*0.86+3*2.14*1.75+2*10.46*0.74+2*2.14*1.62+2*4.28*2.53+8*4.28*1.5+2*2.14*1.62+9*2.14*1.62+2.14*1.75+10.46*1.5+6*1.58*2.89-N31</f>
        <v>184.53820000000002</v>
      </c>
      <c r="O30" s="31">
        <f>3.13*(124.89+25.52+8.39+9.76+14.65+25.52+8.39+9.76+33.58+36.13+6.05)-P30</f>
        <v>663.66319999999996</v>
      </c>
      <c r="P30" s="31">
        <f>17*9.03+4*8.47+4.92+4.92+2*2.1+7.45*4+5*3.47+3*3.47+9*1.84+2*3.75+0.55*1</f>
        <v>283.59999999999997</v>
      </c>
      <c r="Q30" s="22">
        <f>3.13*(35.08+96.04+24.25)-R30-2*0.8*2.14</f>
        <v>406.95070000000004</v>
      </c>
      <c r="R30" s="31">
        <f>2*2.14*1.62+2*2.14*3.96+3*2.14*0.86+2.14*1.75+3*2.14*1.62+2.14*1.75+3*1*1.55+8*2.14*1.62-R31</f>
        <v>75.933400000000006</v>
      </c>
      <c r="S30" s="31">
        <f>4.16*11.9+3.16*9.76+3.98*2.98+1.42*7.87+1.25*26.07+18.69+3.72*3.18+8.89+5.93*3.78+58.39+3.66*21.59+8.14+4.49*40.84+8.14+3.66*21.56+58.39+4.52*5.93+8.64+5.57*25.52+8.39*3.16+9.76*3.16+5.51+21.41*0.87+14.31+2.6*0.87+1.098*5.97+59.25+2.69*1.098+1.15*2.59-T30</f>
        <v>807.84137999999973</v>
      </c>
      <c r="T30" s="31">
        <f>2*2.14*1.62+2.14*3.96+2*1.67*3.48+0.7*1.55+14*1.96*4.22+2*1.96*0.98+1.96*2.3+1.96*2.3+2*1.67*3.48+4*2.14*0.86+2.14*1.75+2.06*1.01+2.14*1.75+2.14*1.75+2.14*3.96+2.14*4.22+2*2.14*1.62+3*1.67*0.86+2.14*0.86+3*2.14*1.62+2*2.14*1.62+2.06*1.66+2.06*1.01-T31</f>
        <v>211.70300000000006</v>
      </c>
      <c r="U30" s="22">
        <f>4.16*19.05+35.08+6.15*6+20.84+1.07*9.08+42.36+59.25+50.16+1.07*12.05-V30</f>
        <v>313.2971</v>
      </c>
      <c r="V30" s="31">
        <f>2*8.47+3.47+3.47+3*1.84+3.75</f>
        <v>33.15</v>
      </c>
      <c r="W30" s="35"/>
      <c r="X30" s="35"/>
      <c r="Y30" s="35"/>
      <c r="Z30" s="35"/>
      <c r="AA30" s="35"/>
      <c r="AB30" s="13"/>
    </row>
    <row r="31" spans="1:28" ht="30" hidden="1" x14ac:dyDescent="0.25">
      <c r="A31" s="9"/>
      <c r="B31" s="10" t="s">
        <v>59</v>
      </c>
      <c r="C31" s="14" t="s">
        <v>20</v>
      </c>
      <c r="D31" s="12" t="s">
        <v>18</v>
      </c>
      <c r="E31" s="12"/>
      <c r="F31" s="30">
        <f>G31+I31+K31+M31+O31+Q31+S31+U31</f>
        <v>1263.9094999999998</v>
      </c>
      <c r="G31" s="22">
        <f>3.67*(12.12+9.1+7.65+12.12+2.83)+0.74*2.14-H31</f>
        <v>122.85559999999997</v>
      </c>
      <c r="H31" s="31">
        <f>2*2.06*1.11+2.14*1.75+3*2.14*0.86+1.9*1+2.06*1.71+2.06*1.11+2.06*1.71+2.14*1.62+2*2.14*0.86+2.14*0.71+2.06*1.11+2.06*1.71</f>
        <v>39.547399999999996</v>
      </c>
      <c r="I31" s="22">
        <f>3.67*(11.43+9.44)+4*0.85*2.14-J31</f>
        <v>67.468499999999977</v>
      </c>
      <c r="J31" s="31">
        <f>1.52*0.86+2.06*1.71+2.06*1.01+2.06*1.11+2.06*1.71+2*2.14*0.86</f>
        <v>16.400400000000001</v>
      </c>
      <c r="K31" s="31">
        <f>3.6*(12.12+1.85+3.92+1.88+1.88*2+3.92+10.49+1.63+2.83)+14*2.14+2*2.14-L31</f>
        <v>117.87500000000001</v>
      </c>
      <c r="L31" s="31">
        <f>8*2.14*0.86+2.14*1.62+2.14*1.75+3*10.46*1.5</f>
        <v>69.00500000000001</v>
      </c>
      <c r="M31" s="22">
        <f>3.6*(9.44+11.43)+2*1.2*2.14-N31</f>
        <v>45.352999999999987</v>
      </c>
      <c r="N31" s="31">
        <f>15.69+2*7.74+2.14*1.75</f>
        <v>34.914999999999999</v>
      </c>
      <c r="O31" s="31">
        <f>3.13*(12.12+1.85+3.92+1.88+1.88+3.92+1.85+10.49+1.63+2.83)-P31</f>
        <v>110.6781</v>
      </c>
      <c r="P31" s="31">
        <f>8*1.84+3.75+3.47</f>
        <v>21.939999999999998</v>
      </c>
      <c r="Q31" s="22">
        <f>3.13*(9.84+11.63)+2*0.8*2.14-R31</f>
        <v>66.880099999999999</v>
      </c>
      <c r="R31" s="31">
        <f>2.14*1.75</f>
        <v>3.7450000000000001</v>
      </c>
      <c r="S31" s="22">
        <f>5.37*12.12+2.98*3.92+2*5.86+2.98*3.92+2*5.86+5.37*(10.49+1.81)+9.18+3.01*0.58+3.4*4.54+1.29+3.75*6+4.51*18.24+4.67*2.64+3.7*(5.37+0.38)+3.7*0.38+2*1.79+5.42*2.88+2*1.29+3.75*8.6+4.54*3.06-T31</f>
        <v>382.48459999999994</v>
      </c>
      <c r="T31" s="31">
        <f>7*1.84+3*3.47+3.74+2.08+1.68</f>
        <v>30.79</v>
      </c>
      <c r="U31" s="22">
        <f>5.42*9.44+1.15*8.78+5.42*2.68+28.18+2.49*1.5+4.87*18.88+47.49+3.84*8.66+7.63*1.94+4.54*3.98+7.63*4.38+5.42*0.67</f>
        <v>350.31460000000004</v>
      </c>
      <c r="V31" s="31">
        <f>3.75+1.68+2.02+2.08</f>
        <v>9.5299999999999994</v>
      </c>
      <c r="W31" s="35"/>
      <c r="X31" s="35"/>
      <c r="Y31" s="35"/>
      <c r="Z31" s="35"/>
      <c r="AA31" s="35"/>
      <c r="AB31" s="13"/>
    </row>
    <row r="32" spans="1:28" ht="75" hidden="1" x14ac:dyDescent="0.25">
      <c r="A32" s="9"/>
      <c r="B32" s="10" t="s">
        <v>111</v>
      </c>
      <c r="C32" s="14" t="s">
        <v>113</v>
      </c>
      <c r="D32" s="12" t="s">
        <v>18</v>
      </c>
      <c r="E32" s="12"/>
      <c r="F32" s="30">
        <f>G32+I32+K32+M32+O32+Q32+S32+U32</f>
        <v>14.889000000000001</v>
      </c>
      <c r="G32" s="22">
        <f>4.99*3.1-H32</f>
        <v>14.889000000000001</v>
      </c>
      <c r="H32" s="32">
        <f>0.23+0.35</f>
        <v>0.57999999999999996</v>
      </c>
      <c r="I32" s="22"/>
      <c r="J32" s="32"/>
      <c r="K32" s="31"/>
      <c r="L32" s="31"/>
      <c r="M32" s="22"/>
      <c r="N32" s="31"/>
      <c r="O32" s="31"/>
      <c r="P32" s="31"/>
      <c r="Q32" s="22"/>
      <c r="R32" s="31"/>
      <c r="S32" s="22"/>
      <c r="T32" s="32"/>
      <c r="U32" s="22"/>
      <c r="V32" s="32"/>
      <c r="W32" s="35"/>
      <c r="X32" s="35"/>
      <c r="Y32" s="35"/>
      <c r="Z32" s="35"/>
      <c r="AA32" s="35"/>
      <c r="AB32" s="13"/>
    </row>
    <row r="33" spans="1:28" ht="45" hidden="1" x14ac:dyDescent="0.25">
      <c r="A33" s="9"/>
      <c r="B33" s="10" t="s">
        <v>112</v>
      </c>
      <c r="C33" s="14" t="s">
        <v>114</v>
      </c>
      <c r="D33" s="12" t="s">
        <v>18</v>
      </c>
      <c r="E33" s="12"/>
      <c r="F33" s="30">
        <f>G33+I33+K33+M33+O33+Q33+S33+U33</f>
        <v>63.343299999999985</v>
      </c>
      <c r="G33" s="22">
        <f>7.1*5.24+6.62*7.63-H33</f>
        <v>63.343299999999985</v>
      </c>
      <c r="H33" s="32">
        <f>2.83*4.11+0.11+1.05+2*5.79</f>
        <v>24.371300000000002</v>
      </c>
      <c r="I33" s="22"/>
      <c r="J33" s="32"/>
      <c r="K33" s="31"/>
      <c r="L33" s="31"/>
      <c r="M33" s="22"/>
      <c r="N33" s="31"/>
      <c r="O33" s="31"/>
      <c r="P33" s="31"/>
      <c r="Q33" s="22"/>
      <c r="R33" s="31"/>
      <c r="S33" s="22"/>
      <c r="T33" s="32"/>
      <c r="U33" s="22"/>
      <c r="V33" s="32"/>
      <c r="W33" s="35"/>
      <c r="X33" s="35"/>
      <c r="Y33" s="35"/>
      <c r="Z33" s="35"/>
      <c r="AA33" s="35"/>
      <c r="AB33" s="13"/>
    </row>
    <row r="34" spans="1:28" ht="15" x14ac:dyDescent="0.2">
      <c r="A34" s="9"/>
      <c r="B34" s="23" t="s">
        <v>94</v>
      </c>
      <c r="C34" s="25" t="s">
        <v>172</v>
      </c>
      <c r="D34" s="12" t="s">
        <v>18</v>
      </c>
      <c r="E34" s="12"/>
      <c r="F34" s="30">
        <f>F35+F36+F37+F38</f>
        <v>5820.6276799999987</v>
      </c>
      <c r="G34" s="22"/>
      <c r="H34" s="32"/>
      <c r="I34" s="22"/>
      <c r="J34" s="32"/>
      <c r="K34" s="31"/>
      <c r="L34" s="31"/>
      <c r="M34" s="22"/>
      <c r="N34" s="31"/>
      <c r="O34" s="31"/>
      <c r="P34" s="31"/>
      <c r="Q34" s="22"/>
      <c r="R34" s="31"/>
      <c r="S34" s="22"/>
      <c r="T34" s="32"/>
      <c r="U34" s="22"/>
      <c r="V34" s="32"/>
      <c r="W34" s="35"/>
      <c r="X34" s="35"/>
      <c r="Y34" s="35"/>
      <c r="Z34" s="35"/>
      <c r="AA34" s="35"/>
      <c r="AB34" s="13"/>
    </row>
    <row r="35" spans="1:28" ht="45" x14ac:dyDescent="0.25">
      <c r="A35" s="9"/>
      <c r="B35" s="10" t="s">
        <v>170</v>
      </c>
      <c r="C35" s="14" t="s">
        <v>168</v>
      </c>
      <c r="D35" s="12" t="s">
        <v>18</v>
      </c>
      <c r="E35" s="12"/>
      <c r="F35" s="30">
        <f>G30+I30+K30+M30+O30+Q30+S30+U30</f>
        <v>4478.4858799999993</v>
      </c>
      <c r="G35" s="22"/>
      <c r="H35" s="32"/>
      <c r="I35" s="22"/>
      <c r="J35" s="32"/>
      <c r="K35" s="31"/>
      <c r="L35" s="31"/>
      <c r="M35" s="22"/>
      <c r="N35" s="31"/>
      <c r="O35" s="31"/>
      <c r="P35" s="31"/>
      <c r="Q35" s="22"/>
      <c r="R35" s="31"/>
      <c r="S35" s="22"/>
      <c r="T35" s="32"/>
      <c r="U35" s="22"/>
      <c r="V35" s="32"/>
      <c r="W35" s="35"/>
      <c r="X35" s="35"/>
      <c r="Y35" s="35"/>
      <c r="Z35" s="35"/>
      <c r="AA35" s="35"/>
      <c r="AB35" s="13"/>
    </row>
    <row r="36" spans="1:28" ht="15" x14ac:dyDescent="0.25">
      <c r="A36" s="9"/>
      <c r="B36" s="10" t="s">
        <v>171</v>
      </c>
      <c r="C36" s="14" t="s">
        <v>169</v>
      </c>
      <c r="D36" s="12" t="s">
        <v>18</v>
      </c>
      <c r="E36" s="12"/>
      <c r="F36" s="30">
        <f>F31</f>
        <v>1263.9094999999998</v>
      </c>
      <c r="G36" s="22"/>
      <c r="H36" s="32"/>
      <c r="I36" s="22"/>
      <c r="J36" s="32"/>
      <c r="K36" s="31"/>
      <c r="L36" s="31"/>
      <c r="M36" s="22"/>
      <c r="N36" s="31"/>
      <c r="O36" s="31"/>
      <c r="P36" s="31"/>
      <c r="Q36" s="22"/>
      <c r="R36" s="31"/>
      <c r="S36" s="22"/>
      <c r="T36" s="32"/>
      <c r="U36" s="22"/>
      <c r="V36" s="32"/>
      <c r="W36" s="35"/>
      <c r="X36" s="35"/>
      <c r="Y36" s="35"/>
      <c r="Z36" s="35"/>
      <c r="AA36" s="35"/>
      <c r="AB36" s="13"/>
    </row>
    <row r="37" spans="1:28" ht="45" x14ac:dyDescent="0.25">
      <c r="A37" s="9"/>
      <c r="B37" s="10" t="s">
        <v>173</v>
      </c>
      <c r="C37" s="14" t="s">
        <v>168</v>
      </c>
      <c r="D37" s="12" t="s">
        <v>18</v>
      </c>
      <c r="E37" s="12"/>
      <c r="F37" s="30">
        <f>F32</f>
        <v>14.889000000000001</v>
      </c>
      <c r="G37" s="22"/>
      <c r="H37" s="32"/>
      <c r="I37" s="22"/>
      <c r="J37" s="32"/>
      <c r="K37" s="31"/>
      <c r="L37" s="31"/>
      <c r="M37" s="22"/>
      <c r="N37" s="31"/>
      <c r="O37" s="31"/>
      <c r="P37" s="31"/>
      <c r="Q37" s="22"/>
      <c r="R37" s="31"/>
      <c r="S37" s="22"/>
      <c r="T37" s="32"/>
      <c r="U37" s="22"/>
      <c r="V37" s="32"/>
      <c r="W37" s="35"/>
      <c r="X37" s="35"/>
      <c r="Y37" s="35"/>
      <c r="Z37" s="35"/>
      <c r="AA37" s="35"/>
      <c r="AB37" s="13"/>
    </row>
    <row r="38" spans="1:28" ht="15" x14ac:dyDescent="0.25">
      <c r="A38" s="9"/>
      <c r="B38" s="10" t="s">
        <v>174</v>
      </c>
      <c r="C38" s="14" t="s">
        <v>169</v>
      </c>
      <c r="D38" s="12" t="s">
        <v>18</v>
      </c>
      <c r="E38" s="12"/>
      <c r="F38" s="30">
        <f>F33</f>
        <v>63.343299999999985</v>
      </c>
      <c r="G38" s="22"/>
      <c r="H38" s="32"/>
      <c r="I38" s="22"/>
      <c r="J38" s="32"/>
      <c r="K38" s="31"/>
      <c r="L38" s="31"/>
      <c r="M38" s="22"/>
      <c r="N38" s="31"/>
      <c r="O38" s="31"/>
      <c r="P38" s="31"/>
      <c r="Q38" s="22"/>
      <c r="R38" s="31"/>
      <c r="S38" s="22"/>
      <c r="T38" s="32"/>
      <c r="U38" s="22"/>
      <c r="V38" s="32"/>
      <c r="W38" s="35"/>
      <c r="X38" s="35"/>
      <c r="Y38" s="35"/>
      <c r="Z38" s="35"/>
      <c r="AA38" s="35"/>
      <c r="AB38" s="13"/>
    </row>
    <row r="39" spans="1:28" ht="28.5" x14ac:dyDescent="0.25">
      <c r="A39" s="9"/>
      <c r="B39" s="23" t="s">
        <v>95</v>
      </c>
      <c r="C39" s="11" t="s">
        <v>115</v>
      </c>
      <c r="D39" s="12" t="s">
        <v>18</v>
      </c>
      <c r="E39" s="12"/>
      <c r="F39" s="30">
        <f>F40+F41</f>
        <v>202.54770000000002</v>
      </c>
      <c r="G39" s="22"/>
      <c r="H39" s="32"/>
      <c r="I39" s="22"/>
      <c r="J39" s="32"/>
      <c r="K39" s="31"/>
      <c r="L39" s="31"/>
      <c r="M39" s="22"/>
      <c r="N39" s="31"/>
      <c r="O39" s="31"/>
      <c r="P39" s="31"/>
      <c r="Q39" s="22"/>
      <c r="R39" s="31"/>
      <c r="S39" s="22"/>
      <c r="T39" s="32"/>
      <c r="U39" s="22"/>
      <c r="V39" s="32"/>
      <c r="W39" s="35"/>
      <c r="X39" s="35"/>
      <c r="Y39" s="35"/>
      <c r="Z39" s="35"/>
      <c r="AA39" s="35"/>
      <c r="AB39" s="13"/>
    </row>
    <row r="40" spans="1:28" ht="30" x14ac:dyDescent="0.25">
      <c r="A40" s="9"/>
      <c r="B40" s="10" t="s">
        <v>94</v>
      </c>
      <c r="C40" s="14" t="s">
        <v>25</v>
      </c>
      <c r="D40" s="12" t="s">
        <v>18</v>
      </c>
      <c r="E40" s="12"/>
      <c r="F40" s="30">
        <f>G40+I40+K40+M40+O40+Q40+S11+U40-F32-F33</f>
        <v>133.61770000000001</v>
      </c>
      <c r="G40" s="31">
        <f>G11</f>
        <v>75.61</v>
      </c>
      <c r="H40" s="32">
        <f>H11</f>
        <v>7.06</v>
      </c>
      <c r="I40" s="31">
        <f>I11</f>
        <v>136.24</v>
      </c>
      <c r="J40" s="32">
        <f>J11</f>
        <v>16.63</v>
      </c>
      <c r="K40" s="33"/>
      <c r="L40" s="33"/>
      <c r="M40" s="34"/>
      <c r="N40" s="33"/>
      <c r="O40" s="33"/>
      <c r="P40" s="33"/>
      <c r="Q40" s="34"/>
      <c r="R40" s="33"/>
      <c r="S40" s="31"/>
      <c r="T40" s="32"/>
      <c r="U40" s="31"/>
      <c r="V40" s="32"/>
      <c r="W40" s="35"/>
      <c r="X40" s="35"/>
      <c r="Y40" s="35"/>
      <c r="Z40" s="35"/>
      <c r="AA40" s="35"/>
      <c r="AB40" s="13"/>
    </row>
    <row r="41" spans="1:28" ht="30" x14ac:dyDescent="0.25">
      <c r="A41" s="9"/>
      <c r="B41" s="10" t="s">
        <v>95</v>
      </c>
      <c r="C41" s="14" t="s">
        <v>27</v>
      </c>
      <c r="D41" s="12" t="s">
        <v>18</v>
      </c>
      <c r="E41" s="12"/>
      <c r="F41" s="30">
        <f>G41+I41+K41+M41+O41+Q41+S10+U41</f>
        <v>68.929999999999993</v>
      </c>
      <c r="G41" s="31">
        <f>G10</f>
        <v>30.99</v>
      </c>
      <c r="H41" s="32"/>
      <c r="I41" s="31">
        <f>I10</f>
        <v>37.94</v>
      </c>
      <c r="J41" s="32"/>
      <c r="K41" s="33"/>
      <c r="L41" s="33"/>
      <c r="M41" s="34"/>
      <c r="N41" s="33"/>
      <c r="O41" s="33"/>
      <c r="P41" s="33"/>
      <c r="Q41" s="34"/>
      <c r="R41" s="33"/>
      <c r="S41" s="31"/>
      <c r="T41" s="32"/>
      <c r="U41" s="31"/>
      <c r="V41" s="32"/>
      <c r="W41" s="35"/>
      <c r="X41" s="35"/>
      <c r="Y41" s="35"/>
      <c r="Z41" s="35"/>
      <c r="AA41" s="35"/>
      <c r="AB41" s="13"/>
    </row>
    <row r="42" spans="1:28" ht="18.75" customHeight="1" x14ac:dyDescent="0.25">
      <c r="A42" s="9"/>
      <c r="B42" s="88" t="s">
        <v>60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90"/>
    </row>
    <row r="43" spans="1:28" ht="57" x14ac:dyDescent="0.25">
      <c r="A43" s="9"/>
      <c r="B43" s="23" t="s">
        <v>24</v>
      </c>
      <c r="C43" s="60" t="s">
        <v>181</v>
      </c>
      <c r="D43" s="12" t="s">
        <v>29</v>
      </c>
      <c r="E43" s="12"/>
      <c r="F43" s="30">
        <f>F44</f>
        <v>1981.4900000000002</v>
      </c>
      <c r="G43" s="40"/>
      <c r="H43" s="41"/>
      <c r="I43" s="40"/>
      <c r="J43" s="41"/>
      <c r="K43" s="42"/>
      <c r="L43" s="42"/>
      <c r="M43" s="41"/>
      <c r="N43" s="42"/>
      <c r="O43" s="42"/>
      <c r="P43" s="42"/>
      <c r="Q43" s="41"/>
      <c r="R43" s="42"/>
      <c r="S43" s="42"/>
      <c r="T43" s="42"/>
      <c r="U43" s="41"/>
      <c r="V43" s="42"/>
      <c r="W43" s="43"/>
      <c r="X43" s="43"/>
      <c r="Y43" s="43"/>
      <c r="Z43" s="43"/>
      <c r="AA43" s="43"/>
      <c r="AB43" s="13" t="s">
        <v>204</v>
      </c>
    </row>
    <row r="44" spans="1:28" ht="28.5" x14ac:dyDescent="0.25">
      <c r="A44" s="9"/>
      <c r="B44" s="23" t="s">
        <v>61</v>
      </c>
      <c r="C44" s="11" t="s">
        <v>176</v>
      </c>
      <c r="D44" s="12" t="s">
        <v>29</v>
      </c>
      <c r="E44" s="12"/>
      <c r="F44" s="30">
        <f>F45</f>
        <v>1981.4900000000002</v>
      </c>
      <c r="G44" s="31"/>
      <c r="H44" s="32"/>
      <c r="I44" s="31"/>
      <c r="J44" s="32"/>
      <c r="K44" s="33"/>
      <c r="L44" s="33"/>
      <c r="M44" s="34"/>
      <c r="N44" s="33"/>
      <c r="O44" s="33"/>
      <c r="P44" s="33"/>
      <c r="Q44" s="34"/>
      <c r="R44" s="33"/>
      <c r="S44" s="31"/>
      <c r="T44" s="32"/>
      <c r="U44" s="31"/>
      <c r="V44" s="32"/>
      <c r="W44" s="35"/>
      <c r="X44" s="35"/>
      <c r="Y44" s="35"/>
      <c r="Z44" s="35"/>
      <c r="AA44" s="35"/>
      <c r="AB44" s="13"/>
    </row>
    <row r="45" spans="1:28" ht="28.5" x14ac:dyDescent="0.2">
      <c r="A45" s="9"/>
      <c r="B45" s="23" t="s">
        <v>62</v>
      </c>
      <c r="C45" s="25" t="s">
        <v>56</v>
      </c>
      <c r="D45" s="12" t="s">
        <v>29</v>
      </c>
      <c r="E45" s="12"/>
      <c r="F45" s="30">
        <f>F46</f>
        <v>1981.4900000000002</v>
      </c>
      <c r="G45" s="31"/>
      <c r="H45" s="32"/>
      <c r="I45" s="31"/>
      <c r="J45" s="32"/>
      <c r="K45" s="33"/>
      <c r="L45" s="33"/>
      <c r="M45" s="34"/>
      <c r="N45" s="33"/>
      <c r="O45" s="33"/>
      <c r="P45" s="33"/>
      <c r="Q45" s="34"/>
      <c r="R45" s="33"/>
      <c r="S45" s="31"/>
      <c r="T45" s="32"/>
      <c r="U45" s="31"/>
      <c r="V45" s="32"/>
      <c r="W45" s="35"/>
      <c r="X45" s="35"/>
      <c r="Y45" s="35"/>
      <c r="Z45" s="35"/>
      <c r="AA45" s="35"/>
      <c r="AB45" s="13"/>
    </row>
    <row r="46" spans="1:28" ht="45" x14ac:dyDescent="0.25">
      <c r="A46" s="9"/>
      <c r="B46" s="10" t="s">
        <v>63</v>
      </c>
      <c r="C46" s="14" t="s">
        <v>179</v>
      </c>
      <c r="D46" s="12" t="s">
        <v>29</v>
      </c>
      <c r="E46" s="12"/>
      <c r="F46" s="30">
        <f>G46+I46+K46+M46+O46+Q46+S46+U46+F47</f>
        <v>1981.4900000000002</v>
      </c>
      <c r="G46" s="22">
        <f>2.14*(6+2+8+6+10+4+4+9+8+2+4+4+6+8+12)+2.06*2+2.14*(5+5+2)</f>
        <v>228.82000000000002</v>
      </c>
      <c r="H46" s="31"/>
      <c r="I46" s="22">
        <f>2.14*(8+4+4+6+20+2+4+6+6)+2.06*2+5.62*(4+6+6+4)</f>
        <v>244.92000000000002</v>
      </c>
      <c r="J46" s="31"/>
      <c r="K46" s="31">
        <f>2.14*(4+4+2+8+6+4+4+2+38+26+16+4+14+2+2)+12*5.66</f>
        <v>358.96000000000004</v>
      </c>
      <c r="L46" s="33"/>
      <c r="M46" s="22">
        <f>2.14*(10+2+14+6+10+8)+4.28*18</f>
        <v>184.04000000000002</v>
      </c>
      <c r="N46" s="33"/>
      <c r="O46" s="31">
        <f>2.14*(3+3+4+10+6+10+26+2+2+2+4+8+4+10+2)</f>
        <v>205.44</v>
      </c>
      <c r="P46" s="33"/>
      <c r="Q46" s="22">
        <f>2.14*(4+4+8+4)+1.95*2+1.84*4+2.14*(6+6)+1.84*4</f>
        <v>87.100000000000009</v>
      </c>
      <c r="R46" s="33"/>
      <c r="S46" s="31">
        <f>2.14*(3+3+4+4+10+26+6+4)+1.67*6+1.67*(4)</f>
        <v>145.10000000000002</v>
      </c>
      <c r="T46" s="33"/>
      <c r="U46" s="22">
        <f>2.14*(4+4+8)</f>
        <v>34.24</v>
      </c>
      <c r="V46" s="33"/>
      <c r="W46" s="35"/>
      <c r="X46" s="35"/>
      <c r="Y46" s="35"/>
      <c r="Z46" s="35"/>
      <c r="AA46" s="35"/>
      <c r="AB46" s="13"/>
    </row>
    <row r="47" spans="1:28" ht="30" hidden="1" x14ac:dyDescent="0.25">
      <c r="A47" s="9"/>
      <c r="B47" s="10" t="s">
        <v>64</v>
      </c>
      <c r="C47" s="14" t="s">
        <v>22</v>
      </c>
      <c r="D47" s="12" t="s">
        <v>29</v>
      </c>
      <c r="E47" s="12"/>
      <c r="F47" s="30">
        <f>G47+I47+K47+M47+O47+Q47+S47+U47</f>
        <v>492.87</v>
      </c>
      <c r="G47" s="22">
        <v>143.66</v>
      </c>
      <c r="H47" s="31"/>
      <c r="I47" s="22"/>
      <c r="J47" s="31"/>
      <c r="K47" s="31">
        <v>234.96</v>
      </c>
      <c r="L47" s="33"/>
      <c r="M47" s="22"/>
      <c r="N47" s="33"/>
      <c r="O47" s="31">
        <v>57.2</v>
      </c>
      <c r="P47" s="33"/>
      <c r="Q47" s="22"/>
      <c r="R47" s="33"/>
      <c r="S47" s="31">
        <v>57.05</v>
      </c>
      <c r="T47" s="33"/>
      <c r="U47" s="22"/>
      <c r="V47" s="33"/>
      <c r="W47" s="35"/>
      <c r="X47" s="35"/>
      <c r="Y47" s="35"/>
      <c r="Z47" s="35"/>
      <c r="AA47" s="35"/>
      <c r="AB47" s="13"/>
    </row>
    <row r="48" spans="1:28" ht="15" x14ac:dyDescent="0.2">
      <c r="A48" s="9"/>
      <c r="B48" s="23" t="s">
        <v>175</v>
      </c>
      <c r="C48" s="25" t="s">
        <v>205</v>
      </c>
      <c r="D48" s="73"/>
      <c r="E48" s="73"/>
      <c r="F48" s="74"/>
      <c r="G48" s="75"/>
      <c r="H48" s="76"/>
      <c r="I48" s="75"/>
      <c r="J48" s="76"/>
      <c r="K48" s="76"/>
      <c r="L48" s="77"/>
      <c r="M48" s="75"/>
      <c r="N48" s="77"/>
      <c r="O48" s="76"/>
      <c r="P48" s="77"/>
      <c r="Q48" s="75"/>
      <c r="R48" s="77"/>
      <c r="S48" s="76"/>
      <c r="T48" s="77"/>
      <c r="U48" s="75"/>
      <c r="V48" s="77"/>
      <c r="W48" s="78"/>
      <c r="X48" s="78"/>
      <c r="Y48" s="78"/>
      <c r="Z48" s="78"/>
      <c r="AA48" s="78"/>
      <c r="AB48" s="79"/>
    </row>
    <row r="49" spans="1:28" ht="45" x14ac:dyDescent="0.25">
      <c r="A49" s="9"/>
      <c r="B49" s="10" t="s">
        <v>177</v>
      </c>
      <c r="C49" s="14" t="s">
        <v>168</v>
      </c>
      <c r="D49" s="12" t="s">
        <v>29</v>
      </c>
      <c r="E49" s="12"/>
      <c r="F49" s="30">
        <f>G46+I46+K46+M46+O46+Q46+S46+U46</f>
        <v>1488.6200000000001</v>
      </c>
      <c r="G49" s="22"/>
      <c r="H49" s="32"/>
      <c r="I49" s="22"/>
      <c r="J49" s="32"/>
      <c r="K49" s="31"/>
      <c r="L49" s="31"/>
      <c r="M49" s="22"/>
      <c r="N49" s="31"/>
      <c r="O49" s="31"/>
      <c r="P49" s="31"/>
      <c r="Q49" s="22"/>
      <c r="R49" s="31"/>
      <c r="S49" s="22"/>
      <c r="T49" s="32"/>
      <c r="U49" s="22"/>
      <c r="V49" s="32"/>
      <c r="W49" s="35"/>
      <c r="X49" s="35"/>
      <c r="Y49" s="35"/>
      <c r="Z49" s="35"/>
      <c r="AA49" s="35"/>
      <c r="AB49" s="13"/>
    </row>
    <row r="50" spans="1:28" ht="15.75" thickBot="1" x14ac:dyDescent="0.3">
      <c r="A50" s="9"/>
      <c r="B50" s="10" t="s">
        <v>178</v>
      </c>
      <c r="C50" s="14" t="s">
        <v>169</v>
      </c>
      <c r="D50" s="12" t="s">
        <v>29</v>
      </c>
      <c r="E50" s="12"/>
      <c r="F50" s="30">
        <f>F47</f>
        <v>492.87</v>
      </c>
      <c r="G50" s="22"/>
      <c r="H50" s="32"/>
      <c r="I50" s="22"/>
      <c r="J50" s="32"/>
      <c r="K50" s="31"/>
      <c r="L50" s="31"/>
      <c r="M50" s="22"/>
      <c r="N50" s="31"/>
      <c r="O50" s="31"/>
      <c r="P50" s="31"/>
      <c r="Q50" s="22"/>
      <c r="R50" s="31"/>
      <c r="S50" s="22"/>
      <c r="T50" s="32"/>
      <c r="U50" s="22"/>
      <c r="V50" s="32"/>
      <c r="W50" s="35"/>
      <c r="X50" s="35"/>
      <c r="Y50" s="35"/>
      <c r="Z50" s="35"/>
      <c r="AA50" s="35"/>
      <c r="AB50" s="13"/>
    </row>
    <row r="51" spans="1:28" s="1" customFormat="1" ht="19.5" customHeight="1" x14ac:dyDescent="0.25">
      <c r="A51" s="8">
        <v>1</v>
      </c>
      <c r="B51" s="94" t="s">
        <v>107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</row>
    <row r="52" spans="1:28" s="1" customFormat="1" ht="19.5" customHeight="1" x14ac:dyDescent="0.25">
      <c r="A52" s="26"/>
      <c r="B52" s="91" t="s">
        <v>76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</row>
    <row r="53" spans="1:28" ht="15" x14ac:dyDescent="0.25">
      <c r="A53" s="9"/>
      <c r="B53" s="23" t="s">
        <v>26</v>
      </c>
      <c r="C53" s="59" t="s">
        <v>120</v>
      </c>
      <c r="D53" s="12" t="s">
        <v>18</v>
      </c>
      <c r="E53" s="12"/>
      <c r="F53" s="30">
        <f>F62</f>
        <v>243.06270000000001</v>
      </c>
      <c r="G53" s="66"/>
      <c r="H53" s="72"/>
      <c r="I53" s="66"/>
      <c r="J53" s="72"/>
      <c r="K53" s="30"/>
      <c r="L53" s="30"/>
      <c r="M53" s="67"/>
      <c r="N53" s="30"/>
      <c r="O53" s="30"/>
      <c r="P53" s="30"/>
      <c r="Q53" s="67"/>
      <c r="R53" s="30"/>
      <c r="S53" s="66"/>
      <c r="T53" s="72"/>
      <c r="U53" s="66"/>
      <c r="V53" s="72"/>
      <c r="W53" s="35"/>
      <c r="X53" s="35"/>
      <c r="Y53" s="35"/>
      <c r="Z53" s="35"/>
      <c r="AA53" s="35"/>
      <c r="AB53" s="13"/>
    </row>
    <row r="54" spans="1:28" ht="15" x14ac:dyDescent="0.2">
      <c r="A54" s="9"/>
      <c r="B54" s="23" t="s">
        <v>77</v>
      </c>
      <c r="C54" s="25" t="s">
        <v>123</v>
      </c>
      <c r="D54" s="12" t="s">
        <v>18</v>
      </c>
      <c r="E54" s="12"/>
      <c r="F54" s="30">
        <f>F56+F57+F55+F58</f>
        <v>278.6157</v>
      </c>
      <c r="G54" s="66"/>
      <c r="H54" s="72"/>
      <c r="I54" s="66"/>
      <c r="J54" s="72"/>
      <c r="K54" s="30"/>
      <c r="L54" s="30"/>
      <c r="M54" s="67"/>
      <c r="N54" s="30"/>
      <c r="O54" s="30"/>
      <c r="P54" s="30"/>
      <c r="Q54" s="67"/>
      <c r="R54" s="30"/>
      <c r="S54" s="66"/>
      <c r="T54" s="72"/>
      <c r="U54" s="66"/>
      <c r="V54" s="72"/>
      <c r="W54" s="35"/>
      <c r="X54" s="35"/>
      <c r="Y54" s="35"/>
      <c r="Z54" s="35"/>
      <c r="AA54" s="35"/>
      <c r="AB54" s="13"/>
    </row>
    <row r="55" spans="1:28" ht="45" x14ac:dyDescent="0.25">
      <c r="A55" s="9"/>
      <c r="B55" s="10" t="s">
        <v>98</v>
      </c>
      <c r="C55" s="14" t="s">
        <v>187</v>
      </c>
      <c r="D55" s="12" t="s">
        <v>18</v>
      </c>
      <c r="E55" s="12">
        <v>1</v>
      </c>
      <c r="F55" s="33">
        <f>(G55+I55+K55+M55+O55+Q55+S55+U55)</f>
        <v>23.7943</v>
      </c>
      <c r="G55" s="65">
        <f>0.45*9+2.76*2.98+5.05-H55</f>
        <v>13.4758</v>
      </c>
      <c r="H55" s="66">
        <f>2*0.15*0.5+2.4*1.06+1.5*0.77</f>
        <v>3.8490000000000002</v>
      </c>
      <c r="I55" s="66">
        <f>0.45*(22.93)</f>
        <v>10.3185</v>
      </c>
      <c r="J55" s="66"/>
      <c r="K55" s="30"/>
      <c r="L55" s="30"/>
      <c r="M55" s="67"/>
      <c r="N55" s="30"/>
      <c r="O55" s="30"/>
      <c r="P55" s="66"/>
      <c r="Q55" s="67"/>
      <c r="R55" s="66"/>
      <c r="S55" s="65"/>
      <c r="T55" s="65"/>
      <c r="U55" s="65"/>
      <c r="V55" s="65"/>
      <c r="W55" s="35"/>
      <c r="X55" s="35"/>
      <c r="Y55" s="35"/>
      <c r="Z55" s="35"/>
      <c r="AA55" s="35"/>
      <c r="AB55" s="70" t="s">
        <v>198</v>
      </c>
    </row>
    <row r="56" spans="1:28" ht="60" x14ac:dyDescent="0.25">
      <c r="A56" s="9"/>
      <c r="B56" s="10" t="s">
        <v>99</v>
      </c>
      <c r="C56" s="14" t="s">
        <v>188</v>
      </c>
      <c r="D56" s="12" t="s">
        <v>18</v>
      </c>
      <c r="E56" s="12">
        <v>1</v>
      </c>
      <c r="F56" s="33">
        <f>((G56+I56+K56+M56+O56+Q56+S56+U56)+5.43)</f>
        <v>37.213499999999996</v>
      </c>
      <c r="G56" s="65">
        <f>63.71*0.45-H56</f>
        <v>28.2195</v>
      </c>
      <c r="H56" s="66">
        <f>(6*0.5*0.15)</f>
        <v>0.44999999999999996</v>
      </c>
      <c r="I56" s="66">
        <f>(0.45*(3.96+3.96)-J56)</f>
        <v>3.5640000000000001</v>
      </c>
      <c r="J56" s="66"/>
      <c r="K56" s="30"/>
      <c r="L56" s="30"/>
      <c r="M56" s="67"/>
      <c r="N56" s="30"/>
      <c r="O56" s="30"/>
      <c r="P56" s="66"/>
      <c r="Q56" s="67"/>
      <c r="R56" s="66"/>
      <c r="S56" s="30"/>
      <c r="T56" s="30"/>
      <c r="U56" s="67"/>
      <c r="V56" s="30"/>
      <c r="W56" s="35"/>
      <c r="X56" s="35"/>
      <c r="Y56" s="35"/>
      <c r="Z56" s="35"/>
      <c r="AA56" s="35"/>
      <c r="AB56" s="70" t="s">
        <v>201</v>
      </c>
    </row>
    <row r="57" spans="1:28" ht="96" x14ac:dyDescent="0.25">
      <c r="A57" s="9"/>
      <c r="B57" s="10" t="s">
        <v>100</v>
      </c>
      <c r="C57" s="14" t="s">
        <v>189</v>
      </c>
      <c r="D57" s="12" t="s">
        <v>18</v>
      </c>
      <c r="E57" s="12">
        <v>1</v>
      </c>
      <c r="F57" s="33">
        <f>((G57+I57+K57+M57+O57+Q57+S57+U57)+2*10.74+5.43+23.79)</f>
        <v>78.453000000000003</v>
      </c>
      <c r="G57" s="65">
        <f>0.45*76.75-H57</f>
        <v>22.636500000000002</v>
      </c>
      <c r="H57" s="66">
        <f>(5*0.5*0.15)+1.5*1.33+21.18*0.45</f>
        <v>11.901</v>
      </c>
      <c r="I57" s="66">
        <f>0.45*(11.37)-J57</f>
        <v>5.1164999999999994</v>
      </c>
      <c r="J57" s="66"/>
      <c r="K57" s="66"/>
      <c r="L57" s="66"/>
      <c r="M57" s="65"/>
      <c r="N57" s="66"/>
      <c r="O57" s="65"/>
      <c r="P57" s="66"/>
      <c r="Q57" s="65"/>
      <c r="R57" s="66"/>
      <c r="S57" s="65"/>
      <c r="T57" s="65"/>
      <c r="U57" s="65"/>
      <c r="V57" s="65"/>
      <c r="W57" s="35"/>
      <c r="X57" s="35"/>
      <c r="Y57" s="35"/>
      <c r="Z57" s="35"/>
      <c r="AA57" s="35"/>
      <c r="AB57" s="70" t="s">
        <v>200</v>
      </c>
    </row>
    <row r="58" spans="1:28" ht="45" x14ac:dyDescent="0.25">
      <c r="A58" s="9"/>
      <c r="B58" s="10" t="s">
        <v>101</v>
      </c>
      <c r="C58" s="14" t="s">
        <v>190</v>
      </c>
      <c r="D58" s="12" t="s">
        <v>18</v>
      </c>
      <c r="E58" s="12">
        <v>1</v>
      </c>
      <c r="F58" s="33">
        <f>(G58+I58+K58+M58+O58+Q58+S58+U58)</f>
        <v>139.1549</v>
      </c>
      <c r="G58" s="65">
        <f>0.45*178.07+1.5*1.87*4+6.22*1.87+1.15-H58</f>
        <v>93.0929</v>
      </c>
      <c r="H58" s="66">
        <f>0.5*10*0.15+2*1.5*0.77+4*1.5*1.33</f>
        <v>11.040000000000001</v>
      </c>
      <c r="I58" s="66">
        <f>(0.45*(94.36))+2.4*1.5-J58</f>
        <v>46.062000000000005</v>
      </c>
      <c r="J58" s="66"/>
      <c r="K58" s="30"/>
      <c r="L58" s="30"/>
      <c r="M58" s="65"/>
      <c r="N58" s="66"/>
      <c r="O58" s="30"/>
      <c r="P58" s="66"/>
      <c r="Q58" s="65"/>
      <c r="R58" s="66"/>
      <c r="S58" s="65"/>
      <c r="T58" s="65"/>
      <c r="U58" s="65"/>
      <c r="V58" s="65"/>
      <c r="W58" s="35"/>
      <c r="X58" s="35"/>
      <c r="Y58" s="35"/>
      <c r="Z58" s="35"/>
      <c r="AA58" s="35"/>
      <c r="AB58" s="70" t="s">
        <v>50</v>
      </c>
    </row>
    <row r="59" spans="1:28" ht="45" hidden="1" x14ac:dyDescent="0.25">
      <c r="A59" s="9"/>
      <c r="B59" s="80" t="s">
        <v>102</v>
      </c>
      <c r="C59" s="81" t="s">
        <v>109</v>
      </c>
      <c r="D59" s="82" t="s">
        <v>18</v>
      </c>
      <c r="E59" s="82">
        <v>1.07</v>
      </c>
      <c r="F59" s="35">
        <f>(G59+I59+K59+M59+O59+Q59+S59+U59)*E59</f>
        <v>5.8068900000000001</v>
      </c>
      <c r="G59" s="36"/>
      <c r="H59" s="38"/>
      <c r="I59" s="38">
        <f>0.45*3*4.02</f>
        <v>5.4269999999999996</v>
      </c>
      <c r="J59" s="38"/>
      <c r="K59" s="39"/>
      <c r="L59" s="39"/>
      <c r="M59" s="37"/>
      <c r="N59" s="39"/>
      <c r="O59" s="39"/>
      <c r="P59" s="38"/>
      <c r="Q59" s="37"/>
      <c r="R59" s="38"/>
      <c r="S59" s="36"/>
      <c r="T59" s="36"/>
      <c r="U59" s="36"/>
      <c r="V59" s="36"/>
      <c r="W59" s="35"/>
      <c r="X59" s="35"/>
      <c r="Y59" s="35"/>
      <c r="Z59" s="35"/>
      <c r="AA59" s="35"/>
      <c r="AB59" s="13"/>
    </row>
    <row r="60" spans="1:28" ht="45" hidden="1" x14ac:dyDescent="0.25">
      <c r="A60" s="9"/>
      <c r="B60" s="80" t="s">
        <v>103</v>
      </c>
      <c r="C60" s="81" t="s">
        <v>110</v>
      </c>
      <c r="D60" s="82" t="s">
        <v>18</v>
      </c>
      <c r="E60" s="82">
        <v>1.07</v>
      </c>
      <c r="F60" s="35">
        <f>(G60+I60+K60+M60+O60+Q60+S60+U60)*E60</f>
        <v>11.496614999999998</v>
      </c>
      <c r="G60" s="36">
        <f>0.45*12.02-H60</f>
        <v>5.2589999999999995</v>
      </c>
      <c r="H60" s="38">
        <f>2*0.15*0.5</f>
        <v>0.15</v>
      </c>
      <c r="I60" s="38">
        <f>(0.45*(12.19))-J60</f>
        <v>5.4855</v>
      </c>
      <c r="J60" s="38"/>
      <c r="K60" s="39"/>
      <c r="L60" s="39"/>
      <c r="M60" s="36"/>
      <c r="N60" s="38"/>
      <c r="O60" s="39"/>
      <c r="P60" s="38"/>
      <c r="Q60" s="36"/>
      <c r="R60" s="38"/>
      <c r="S60" s="36"/>
      <c r="T60" s="36"/>
      <c r="U60" s="36"/>
      <c r="V60" s="36"/>
      <c r="W60" s="35"/>
      <c r="X60" s="35"/>
      <c r="Y60" s="35"/>
      <c r="Z60" s="35"/>
      <c r="AA60" s="35"/>
      <c r="AB60" s="13"/>
    </row>
    <row r="61" spans="1:28" s="1" customFormat="1" ht="19.5" customHeight="1" x14ac:dyDescent="0.25">
      <c r="A61" s="26"/>
      <c r="B61" s="91" t="s">
        <v>128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3"/>
    </row>
    <row r="62" spans="1:28" ht="28.5" x14ac:dyDescent="0.25">
      <c r="A62" s="9"/>
      <c r="B62" s="23" t="s">
        <v>28</v>
      </c>
      <c r="C62" s="24" t="s">
        <v>130</v>
      </c>
      <c r="D62" s="12" t="s">
        <v>18</v>
      </c>
      <c r="E62" s="12"/>
      <c r="F62" s="30">
        <f>F68</f>
        <v>243.06270000000001</v>
      </c>
      <c r="G62" s="31"/>
      <c r="H62" s="32"/>
      <c r="I62" s="31"/>
      <c r="J62" s="32"/>
      <c r="K62" s="33"/>
      <c r="L62" s="33"/>
      <c r="M62" s="34"/>
      <c r="N62" s="33"/>
      <c r="O62" s="33"/>
      <c r="P62" s="33"/>
      <c r="Q62" s="34"/>
      <c r="R62" s="33"/>
      <c r="S62" s="31"/>
      <c r="T62" s="32"/>
      <c r="U62" s="31"/>
      <c r="V62" s="32"/>
      <c r="W62" s="35"/>
      <c r="X62" s="35"/>
      <c r="Y62" s="35"/>
      <c r="Z62" s="35"/>
      <c r="AA62" s="35"/>
      <c r="AB62" s="13"/>
    </row>
    <row r="63" spans="1:28" ht="15" x14ac:dyDescent="0.25">
      <c r="A63" s="9"/>
      <c r="B63" s="10" t="s">
        <v>124</v>
      </c>
      <c r="C63" s="14" t="s">
        <v>129</v>
      </c>
      <c r="D63" s="12" t="s">
        <v>18</v>
      </c>
      <c r="E63" s="12"/>
      <c r="F63" s="30">
        <f>F62</f>
        <v>243.06270000000001</v>
      </c>
      <c r="G63" s="31"/>
      <c r="H63" s="31"/>
      <c r="I63" s="31"/>
      <c r="J63" s="31"/>
      <c r="K63" s="33"/>
      <c r="L63" s="33"/>
      <c r="M63" s="34"/>
      <c r="N63" s="33"/>
      <c r="O63" s="33"/>
      <c r="P63" s="33"/>
      <c r="Q63" s="34"/>
      <c r="R63" s="33"/>
      <c r="S63" s="31"/>
      <c r="T63" s="31"/>
      <c r="U63" s="31"/>
      <c r="V63" s="31"/>
      <c r="W63" s="35"/>
      <c r="X63" s="35"/>
      <c r="Y63" s="35"/>
      <c r="Z63" s="35"/>
      <c r="AA63" s="35"/>
      <c r="AB63" s="13"/>
    </row>
    <row r="64" spans="1:28" ht="15" x14ac:dyDescent="0.25">
      <c r="A64" s="9"/>
      <c r="B64" s="10" t="s">
        <v>125</v>
      </c>
      <c r="C64" s="14" t="s">
        <v>202</v>
      </c>
      <c r="D64" s="12" t="s">
        <v>18</v>
      </c>
      <c r="E64" s="12"/>
      <c r="F64" s="30">
        <f>F63</f>
        <v>243.06270000000001</v>
      </c>
      <c r="G64" s="31"/>
      <c r="H64" s="31"/>
      <c r="I64" s="31"/>
      <c r="J64" s="31"/>
      <c r="K64" s="33"/>
      <c r="L64" s="33"/>
      <c r="M64" s="34"/>
      <c r="N64" s="33"/>
      <c r="O64" s="33"/>
      <c r="P64" s="33"/>
      <c r="Q64" s="34"/>
      <c r="R64" s="33"/>
      <c r="S64" s="31"/>
      <c r="T64" s="31"/>
      <c r="U64" s="31"/>
      <c r="V64" s="31"/>
      <c r="W64" s="35"/>
      <c r="X64" s="35"/>
      <c r="Y64" s="35"/>
      <c r="Z64" s="35"/>
      <c r="AA64" s="35"/>
      <c r="AB64" s="13"/>
    </row>
    <row r="65" spans="1:28" s="1" customFormat="1" ht="19.5" customHeight="1" x14ac:dyDescent="0.25">
      <c r="A65" s="26"/>
      <c r="B65" s="91" t="s">
        <v>108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3"/>
    </row>
    <row r="66" spans="1:28" ht="15" x14ac:dyDescent="0.25">
      <c r="A66" s="9"/>
      <c r="B66" s="23" t="s">
        <v>78</v>
      </c>
      <c r="C66" s="59" t="s">
        <v>120</v>
      </c>
      <c r="D66" s="12" t="s">
        <v>18</v>
      </c>
      <c r="E66" s="12"/>
      <c r="F66" s="30">
        <f>F68+F69*0.15</f>
        <v>247.3707</v>
      </c>
      <c r="G66" s="31"/>
      <c r="H66" s="32"/>
      <c r="I66" s="31"/>
      <c r="J66" s="32"/>
      <c r="K66" s="33"/>
      <c r="L66" s="33"/>
      <c r="M66" s="34"/>
      <c r="N66" s="33"/>
      <c r="O66" s="33"/>
      <c r="P66" s="33"/>
      <c r="Q66" s="34"/>
      <c r="R66" s="33"/>
      <c r="S66" s="31"/>
      <c r="T66" s="32"/>
      <c r="U66" s="31"/>
      <c r="V66" s="32"/>
      <c r="W66" s="35"/>
      <c r="X66" s="35"/>
      <c r="Y66" s="35"/>
      <c r="Z66" s="35"/>
      <c r="AA66" s="35"/>
      <c r="AB66" s="13"/>
    </row>
    <row r="67" spans="1:28" ht="28.5" x14ac:dyDescent="0.25">
      <c r="A67" s="9"/>
      <c r="B67" s="23" t="s">
        <v>127</v>
      </c>
      <c r="C67" s="58" t="s">
        <v>126</v>
      </c>
      <c r="D67" s="12" t="s">
        <v>18</v>
      </c>
      <c r="E67" s="12"/>
      <c r="F67" s="30">
        <f>F68+F69*0.15</f>
        <v>247.3707</v>
      </c>
      <c r="G67" s="31"/>
      <c r="H67" s="32"/>
      <c r="I67" s="31"/>
      <c r="J67" s="32"/>
      <c r="K67" s="33"/>
      <c r="L67" s="33"/>
      <c r="M67" s="34"/>
      <c r="N67" s="33"/>
      <c r="O67" s="33"/>
      <c r="P67" s="33"/>
      <c r="Q67" s="34"/>
      <c r="R67" s="33"/>
      <c r="S67" s="31"/>
      <c r="T67" s="32"/>
      <c r="U67" s="31"/>
      <c r="V67" s="32"/>
      <c r="W67" s="35"/>
      <c r="X67" s="35"/>
      <c r="Y67" s="35"/>
      <c r="Z67" s="35"/>
      <c r="AA67" s="35"/>
      <c r="AB67" s="13"/>
    </row>
    <row r="68" spans="1:28" ht="45" x14ac:dyDescent="0.25">
      <c r="A68" s="9"/>
      <c r="B68" s="10" t="s">
        <v>96</v>
      </c>
      <c r="C68" s="14" t="s">
        <v>119</v>
      </c>
      <c r="D68" s="12" t="s">
        <v>18</v>
      </c>
      <c r="E68" s="12"/>
      <c r="F68" s="30">
        <f>G68+I68+K68+M68+O68+Q68+S68+U68</f>
        <v>243.06270000000001</v>
      </c>
      <c r="G68" s="22">
        <f>0.45*(48.61+34.21+37.61+61.95+30.41+27.79+19.68+26.55+12.06+6.47)+2.32*(1.5+1.5+6.12+1.5+1.5)+2.98*3+(6.19+1.54+1.69)-H68</f>
        <v>167.08500000000001</v>
      </c>
      <c r="H68" s="31">
        <f>25*0.5*0.15+1.5*1.33+3*1.44*0.71+4*1.44*1.27+2.4*1.06</f>
        <v>16.796400000000002</v>
      </c>
      <c r="I68" s="22">
        <f>0.45*(176.22-12.82-1.82+4.99)+2.4*1.5-J68</f>
        <v>75.977699999999999</v>
      </c>
      <c r="J68" s="31">
        <f>10*0.5*0.15+1.44*1.27</f>
        <v>2.5788000000000002</v>
      </c>
      <c r="K68" s="33"/>
      <c r="L68" s="33"/>
      <c r="M68" s="34"/>
      <c r="N68" s="33"/>
      <c r="O68" s="33"/>
      <c r="P68" s="33"/>
      <c r="Q68" s="34"/>
      <c r="R68" s="33"/>
      <c r="S68" s="33"/>
      <c r="T68" s="33"/>
      <c r="U68" s="34"/>
      <c r="V68" s="33"/>
      <c r="W68" s="35"/>
      <c r="X68" s="35"/>
      <c r="Y68" s="35"/>
      <c r="Z68" s="35"/>
      <c r="AA68" s="35"/>
      <c r="AB68" s="13"/>
    </row>
    <row r="69" spans="1:28" ht="60" x14ac:dyDescent="0.25">
      <c r="A69" s="9"/>
      <c r="B69" s="10" t="s">
        <v>97</v>
      </c>
      <c r="C69" s="14" t="s">
        <v>118</v>
      </c>
      <c r="D69" s="12" t="s">
        <v>29</v>
      </c>
      <c r="E69" s="12"/>
      <c r="F69" s="30">
        <f>G69+I69+K69+M69+O69+Q69+U69</f>
        <v>28.720000000000002</v>
      </c>
      <c r="G69" s="22">
        <f>2*2.06+0.4*2+4*1.44+2*2.06+2*0.4+2*1.44+6*1.44+4*0.4</f>
        <v>28.720000000000002</v>
      </c>
      <c r="H69" s="31"/>
      <c r="I69" s="22"/>
      <c r="J69" s="31"/>
      <c r="K69" s="33"/>
      <c r="L69" s="33"/>
      <c r="M69" s="34"/>
      <c r="N69" s="33"/>
      <c r="O69" s="33"/>
      <c r="P69" s="33"/>
      <c r="Q69" s="34"/>
      <c r="R69" s="33"/>
      <c r="S69" s="31"/>
      <c r="T69" s="33"/>
      <c r="U69" s="34"/>
      <c r="V69" s="33"/>
      <c r="W69" s="35"/>
      <c r="X69" s="35"/>
      <c r="Y69" s="35"/>
      <c r="Z69" s="35"/>
      <c r="AA69" s="35"/>
      <c r="AB69" s="13"/>
    </row>
    <row r="70" spans="1:28" ht="15" x14ac:dyDescent="0.25">
      <c r="A70" s="9"/>
      <c r="B70" s="23" t="s">
        <v>79</v>
      </c>
      <c r="C70" s="11" t="s">
        <v>182</v>
      </c>
      <c r="D70" s="12" t="s">
        <v>29</v>
      </c>
      <c r="E70" s="12"/>
      <c r="F70" s="30">
        <f>G70+I70+K70+M70+O70+Q70+S70+U70</f>
        <v>979.44000000000017</v>
      </c>
      <c r="G70" s="22">
        <f>2*(12.06+26.55+6.44+37.61+4.24+48.61+34.21+4.24+61.95+4.24+6.81+19.24+4.24+4.39+20.43+4.16+3+19.68)</f>
        <v>644.20000000000016</v>
      </c>
      <c r="H70" s="34"/>
      <c r="I70" s="22">
        <f>2*(2.71+4.99+78.63+4.28+25.14+51.87)</f>
        <v>335.24</v>
      </c>
      <c r="J70" s="34"/>
      <c r="K70" s="33"/>
      <c r="L70" s="33"/>
      <c r="M70" s="34"/>
      <c r="N70" s="33"/>
      <c r="O70" s="33"/>
      <c r="P70" s="33"/>
      <c r="Q70" s="34"/>
      <c r="R70" s="33"/>
      <c r="S70" s="22"/>
      <c r="T70" s="22"/>
      <c r="U70" s="22"/>
      <c r="V70" s="22"/>
      <c r="W70" s="35"/>
      <c r="X70" s="35"/>
      <c r="Y70" s="35"/>
      <c r="Z70" s="35"/>
      <c r="AA70" s="35"/>
      <c r="AB70" s="13" t="s">
        <v>30</v>
      </c>
    </row>
    <row r="71" spans="1:28" ht="28.5" x14ac:dyDescent="0.25">
      <c r="A71" s="9"/>
      <c r="B71" s="23" t="s">
        <v>80</v>
      </c>
      <c r="C71" s="11" t="s">
        <v>116</v>
      </c>
      <c r="D71" s="12" t="s">
        <v>29</v>
      </c>
      <c r="E71" s="12"/>
      <c r="F71" s="30">
        <f>G71+I71+K71+M71+O71+Q71+S71+U71</f>
        <v>489.72000000000008</v>
      </c>
      <c r="G71" s="22">
        <f>12.06+26.55+6.44+37.61+4.24+48.61+34.21+4.24+61.95+4.24+6.81+19.24+4.24+4.39+20.43+4.16+3+19.68-H71</f>
        <v>322.10000000000008</v>
      </c>
      <c r="H71" s="31"/>
      <c r="I71" s="22">
        <f>2.71+4.99+78.63+4.28+25.14+51.87</f>
        <v>167.62</v>
      </c>
      <c r="J71" s="34"/>
      <c r="K71" s="33"/>
      <c r="L71" s="33"/>
      <c r="M71" s="34"/>
      <c r="N71" s="33"/>
      <c r="O71" s="33"/>
      <c r="P71" s="33"/>
      <c r="Q71" s="34"/>
      <c r="R71" s="33"/>
      <c r="S71" s="22"/>
      <c r="T71" s="22"/>
      <c r="U71" s="22"/>
      <c r="V71" s="22"/>
      <c r="W71" s="35"/>
      <c r="X71" s="35"/>
      <c r="Y71" s="35"/>
      <c r="Z71" s="35"/>
      <c r="AA71" s="35"/>
      <c r="AB71" s="13"/>
    </row>
    <row r="72" spans="1:28" ht="42.75" x14ac:dyDescent="0.25">
      <c r="A72" s="9"/>
      <c r="B72" s="23" t="s">
        <v>150</v>
      </c>
      <c r="C72" s="61" t="s">
        <v>151</v>
      </c>
      <c r="D72" s="12" t="s">
        <v>33</v>
      </c>
      <c r="E72" s="12"/>
      <c r="F72" s="46">
        <v>6</v>
      </c>
      <c r="G72" s="22"/>
      <c r="H72" s="31"/>
      <c r="I72" s="22"/>
      <c r="J72" s="34"/>
      <c r="K72" s="33"/>
      <c r="L72" s="33"/>
      <c r="M72" s="34"/>
      <c r="N72" s="33"/>
      <c r="O72" s="33"/>
      <c r="P72" s="33"/>
      <c r="Q72" s="34"/>
      <c r="R72" s="33"/>
      <c r="S72" s="22"/>
      <c r="T72" s="22"/>
      <c r="U72" s="22"/>
      <c r="V72" s="22"/>
      <c r="W72" s="35"/>
      <c r="X72" s="35"/>
      <c r="Y72" s="35"/>
      <c r="Z72" s="35"/>
      <c r="AA72" s="35"/>
      <c r="AB72" s="13"/>
    </row>
    <row r="73" spans="1:28" s="1" customFormat="1" ht="19.5" customHeight="1" x14ac:dyDescent="0.25">
      <c r="A73" s="26"/>
      <c r="B73" s="91" t="s">
        <v>65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3"/>
    </row>
    <row r="74" spans="1:28" ht="15" x14ac:dyDescent="0.25">
      <c r="A74" s="9"/>
      <c r="B74" s="63" t="s">
        <v>81</v>
      </c>
      <c r="C74" s="11" t="s">
        <v>156</v>
      </c>
      <c r="D74" s="16" t="s">
        <v>18</v>
      </c>
      <c r="E74" s="16"/>
      <c r="F74" s="30">
        <v>12.41</v>
      </c>
      <c r="G74" s="40"/>
      <c r="H74" s="41"/>
      <c r="I74" s="40"/>
      <c r="J74" s="41"/>
      <c r="K74" s="42"/>
      <c r="L74" s="42"/>
      <c r="M74" s="41"/>
      <c r="N74" s="42"/>
      <c r="O74" s="42"/>
      <c r="P74" s="42"/>
      <c r="Q74" s="41"/>
      <c r="R74" s="42"/>
      <c r="S74" s="42"/>
      <c r="T74" s="42"/>
      <c r="U74" s="41"/>
      <c r="V74" s="42"/>
      <c r="W74" s="43"/>
      <c r="X74" s="43"/>
      <c r="Y74" s="43"/>
      <c r="Z74" s="43"/>
      <c r="AA74" s="43"/>
      <c r="AB74" s="13"/>
    </row>
    <row r="75" spans="1:28" ht="28.5" x14ac:dyDescent="0.25">
      <c r="A75" s="9"/>
      <c r="B75" s="63" t="s">
        <v>82</v>
      </c>
      <c r="C75" s="11" t="s">
        <v>117</v>
      </c>
      <c r="D75" s="16"/>
      <c r="E75" s="16"/>
      <c r="F75" s="30"/>
      <c r="G75" s="40"/>
      <c r="H75" s="41"/>
      <c r="I75" s="40"/>
      <c r="J75" s="41"/>
      <c r="K75" s="42"/>
      <c r="L75" s="42"/>
      <c r="M75" s="41"/>
      <c r="N75" s="42"/>
      <c r="O75" s="42"/>
      <c r="P75" s="42"/>
      <c r="Q75" s="41"/>
      <c r="R75" s="42"/>
      <c r="S75" s="42"/>
      <c r="T75" s="42"/>
      <c r="U75" s="41"/>
      <c r="V75" s="42"/>
      <c r="W75" s="43"/>
      <c r="X75" s="43"/>
      <c r="Y75" s="43"/>
      <c r="Z75" s="43"/>
      <c r="AA75" s="43"/>
      <c r="AB75" s="13"/>
    </row>
    <row r="76" spans="1:28" ht="45" x14ac:dyDescent="0.25">
      <c r="A76" s="9"/>
      <c r="B76" s="64" t="s">
        <v>84</v>
      </c>
      <c r="C76" s="15" t="s">
        <v>206</v>
      </c>
      <c r="D76" s="16" t="s">
        <v>18</v>
      </c>
      <c r="E76" s="16">
        <v>1</v>
      </c>
      <c r="F76" s="30">
        <f>11.62*E76</f>
        <v>11.62</v>
      </c>
      <c r="G76" s="40"/>
      <c r="H76" s="41"/>
      <c r="I76" s="40"/>
      <c r="J76" s="41"/>
      <c r="K76" s="42"/>
      <c r="L76" s="42"/>
      <c r="M76" s="41"/>
      <c r="N76" s="42"/>
      <c r="O76" s="42"/>
      <c r="P76" s="42"/>
      <c r="Q76" s="41"/>
      <c r="R76" s="42"/>
      <c r="S76" s="42"/>
      <c r="T76" s="42"/>
      <c r="U76" s="41"/>
      <c r="V76" s="42"/>
      <c r="W76" s="43"/>
      <c r="X76" s="43"/>
      <c r="Y76" s="43"/>
      <c r="Z76" s="43"/>
      <c r="AA76" s="43"/>
      <c r="AB76" s="13"/>
    </row>
    <row r="77" spans="1:28" ht="15" x14ac:dyDescent="0.25">
      <c r="A77" s="9"/>
      <c r="B77" s="63" t="s">
        <v>83</v>
      </c>
      <c r="C77" s="24" t="s">
        <v>91</v>
      </c>
      <c r="D77" s="16"/>
      <c r="E77" s="16"/>
      <c r="F77" s="30"/>
      <c r="G77" s="40"/>
      <c r="H77" s="41"/>
      <c r="I77" s="40"/>
      <c r="J77" s="41"/>
      <c r="K77" s="42"/>
      <c r="L77" s="42"/>
      <c r="M77" s="41"/>
      <c r="N77" s="42"/>
      <c r="O77" s="42"/>
      <c r="P77" s="42"/>
      <c r="Q77" s="41"/>
      <c r="R77" s="42"/>
      <c r="S77" s="42"/>
      <c r="T77" s="42"/>
      <c r="U77" s="41"/>
      <c r="V77" s="42"/>
      <c r="W77" s="43"/>
      <c r="X77" s="43"/>
      <c r="Y77" s="43"/>
      <c r="Z77" s="43"/>
      <c r="AA77" s="43"/>
      <c r="AB77" s="13"/>
    </row>
    <row r="78" spans="1:28" ht="15" x14ac:dyDescent="0.25">
      <c r="A78" s="9"/>
      <c r="B78" s="64" t="s">
        <v>85</v>
      </c>
      <c r="C78" s="15" t="s">
        <v>155</v>
      </c>
      <c r="D78" s="16" t="s">
        <v>18</v>
      </c>
      <c r="E78" s="16"/>
      <c r="F78" s="30">
        <v>12.41</v>
      </c>
      <c r="G78" s="40"/>
      <c r="H78" s="41"/>
      <c r="I78" s="40"/>
      <c r="J78" s="41"/>
      <c r="K78" s="42"/>
      <c r="L78" s="42"/>
      <c r="M78" s="41"/>
      <c r="N78" s="42"/>
      <c r="O78" s="42"/>
      <c r="P78" s="42"/>
      <c r="Q78" s="41"/>
      <c r="R78" s="42"/>
      <c r="S78" s="42"/>
      <c r="T78" s="42"/>
      <c r="U78" s="41"/>
      <c r="V78" s="42"/>
      <c r="W78" s="43"/>
      <c r="X78" s="43"/>
      <c r="Y78" s="43"/>
      <c r="Z78" s="43"/>
      <c r="AA78" s="43"/>
      <c r="AB78" s="13"/>
    </row>
    <row r="79" spans="1:28" ht="15" x14ac:dyDescent="0.25">
      <c r="A79" s="9"/>
      <c r="B79" s="63" t="s">
        <v>86</v>
      </c>
      <c r="C79" s="24" t="s">
        <v>88</v>
      </c>
      <c r="D79" s="16"/>
      <c r="E79" s="16"/>
      <c r="F79" s="30"/>
      <c r="G79" s="40"/>
      <c r="H79" s="41"/>
      <c r="I79" s="40"/>
      <c r="J79" s="41"/>
      <c r="K79" s="42"/>
      <c r="L79" s="42"/>
      <c r="M79" s="41"/>
      <c r="N79" s="42"/>
      <c r="O79" s="42"/>
      <c r="P79" s="42"/>
      <c r="Q79" s="41"/>
      <c r="R79" s="42"/>
      <c r="S79" s="42"/>
      <c r="T79" s="42"/>
      <c r="U79" s="41"/>
      <c r="V79" s="42"/>
      <c r="W79" s="43"/>
      <c r="X79" s="43"/>
      <c r="Y79" s="43"/>
      <c r="Z79" s="43"/>
      <c r="AA79" s="43"/>
      <c r="AB79" s="13"/>
    </row>
    <row r="80" spans="1:28" ht="15" x14ac:dyDescent="0.25">
      <c r="A80" s="9"/>
      <c r="B80" s="10" t="s">
        <v>87</v>
      </c>
      <c r="C80" s="14" t="s">
        <v>149</v>
      </c>
      <c r="D80" s="16" t="s">
        <v>18</v>
      </c>
      <c r="E80" s="16"/>
      <c r="F80" s="30">
        <v>12.41</v>
      </c>
      <c r="G80" s="40"/>
      <c r="H80" s="41"/>
      <c r="I80" s="40"/>
      <c r="J80" s="41"/>
      <c r="K80" s="42"/>
      <c r="L80" s="42"/>
      <c r="M80" s="41"/>
      <c r="N80" s="42"/>
      <c r="O80" s="42"/>
      <c r="P80" s="42"/>
      <c r="Q80" s="41"/>
      <c r="R80" s="42"/>
      <c r="S80" s="42"/>
      <c r="T80" s="42"/>
      <c r="U80" s="41"/>
      <c r="V80" s="42"/>
      <c r="W80" s="43"/>
      <c r="X80" s="43"/>
      <c r="Y80" s="43"/>
      <c r="Z80" s="43"/>
      <c r="AA80" s="43"/>
      <c r="AB80" s="13"/>
    </row>
    <row r="81" spans="1:28" ht="15.75" thickBot="1" x14ac:dyDescent="0.3">
      <c r="A81" s="9"/>
      <c r="B81" s="10" t="s">
        <v>90</v>
      </c>
      <c r="C81" s="15" t="s">
        <v>148</v>
      </c>
      <c r="D81" s="16" t="s">
        <v>18</v>
      </c>
      <c r="E81" s="16"/>
      <c r="F81" s="30">
        <v>12.41</v>
      </c>
      <c r="G81" s="40"/>
      <c r="H81" s="41"/>
      <c r="I81" s="40"/>
      <c r="J81" s="41"/>
      <c r="K81" s="42"/>
      <c r="L81" s="42"/>
      <c r="M81" s="41"/>
      <c r="N81" s="42"/>
      <c r="O81" s="42"/>
      <c r="P81" s="42"/>
      <c r="Q81" s="41"/>
      <c r="R81" s="42"/>
      <c r="S81" s="42"/>
      <c r="T81" s="42"/>
      <c r="U81" s="41"/>
      <c r="V81" s="42"/>
      <c r="W81" s="43"/>
      <c r="X81" s="43"/>
      <c r="Y81" s="43"/>
      <c r="Z81" s="43"/>
      <c r="AA81" s="43"/>
      <c r="AB81" s="13"/>
    </row>
    <row r="82" spans="1:28" s="1" customFormat="1" ht="19.5" customHeight="1" x14ac:dyDescent="0.25">
      <c r="A82" s="8">
        <v>1</v>
      </c>
      <c r="B82" s="94" t="s">
        <v>66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6"/>
    </row>
    <row r="83" spans="1:28" ht="15" x14ac:dyDescent="0.25">
      <c r="A83" s="9"/>
      <c r="B83" s="64" t="s">
        <v>89</v>
      </c>
      <c r="C83" s="14" t="s">
        <v>156</v>
      </c>
      <c r="D83" s="16" t="s">
        <v>18</v>
      </c>
      <c r="E83" s="16"/>
      <c r="F83" s="30">
        <f>F84</f>
        <v>244.03000000000003</v>
      </c>
      <c r="G83" s="40"/>
      <c r="H83" s="41"/>
      <c r="I83" s="40"/>
      <c r="J83" s="41"/>
      <c r="K83" s="42"/>
      <c r="L83" s="42"/>
      <c r="M83" s="41"/>
      <c r="N83" s="42"/>
      <c r="O83" s="42"/>
      <c r="P83" s="42"/>
      <c r="Q83" s="41"/>
      <c r="R83" s="42"/>
      <c r="S83" s="42"/>
      <c r="T83" s="42"/>
      <c r="U83" s="41"/>
      <c r="V83" s="42"/>
      <c r="W83" s="43"/>
      <c r="X83" s="43"/>
      <c r="Y83" s="43"/>
      <c r="Z83" s="43"/>
      <c r="AA83" s="43"/>
      <c r="AB83" s="13"/>
    </row>
    <row r="84" spans="1:28" ht="32.25" customHeight="1" x14ac:dyDescent="0.25">
      <c r="B84" s="64" t="s">
        <v>92</v>
      </c>
      <c r="C84" s="14" t="s">
        <v>36</v>
      </c>
      <c r="D84" s="12" t="s">
        <v>18</v>
      </c>
      <c r="E84" s="12"/>
      <c r="F84" s="30">
        <f>G84+I84+K84+M84+O84+Q84+S84+U84</f>
        <v>244.03000000000003</v>
      </c>
      <c r="G84" s="65">
        <f>28.78+2.8+2.87+2.89+2.07+14.29+0.96+0.96+4.47+2.81+137.4</f>
        <v>200.3</v>
      </c>
      <c r="H84" s="65"/>
      <c r="I84" s="66">
        <f>2.91+6.47+34.35</f>
        <v>43.730000000000004</v>
      </c>
      <c r="J84" s="65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34"/>
      <c r="Z84" s="34"/>
      <c r="AA84" s="34"/>
      <c r="AB84" s="14"/>
    </row>
    <row r="85" spans="1:28" ht="45" x14ac:dyDescent="0.25">
      <c r="B85" s="64" t="s">
        <v>93</v>
      </c>
      <c r="C85" s="14" t="s">
        <v>138</v>
      </c>
      <c r="D85" s="12" t="s">
        <v>18</v>
      </c>
      <c r="E85" s="12"/>
      <c r="F85" s="30">
        <f>F87</f>
        <v>72.849999999999994</v>
      </c>
      <c r="G85" s="65">
        <f>G87</f>
        <v>63.47</v>
      </c>
      <c r="H85" s="67"/>
      <c r="I85" s="65">
        <f>I87</f>
        <v>9.379999999999999</v>
      </c>
      <c r="J85" s="67"/>
      <c r="K85" s="65"/>
      <c r="L85" s="30"/>
      <c r="M85" s="65"/>
      <c r="N85" s="30"/>
      <c r="O85" s="65"/>
      <c r="P85" s="30"/>
      <c r="Q85" s="65"/>
      <c r="R85" s="30"/>
      <c r="S85" s="65"/>
      <c r="T85" s="65"/>
      <c r="U85" s="65"/>
      <c r="V85" s="65"/>
      <c r="W85" s="68"/>
      <c r="X85" s="68"/>
      <c r="Y85" s="34"/>
      <c r="Z85" s="34"/>
      <c r="AA85" s="34"/>
      <c r="AB85" s="14"/>
    </row>
    <row r="86" spans="1:28" ht="30" x14ac:dyDescent="0.25">
      <c r="A86" s="9"/>
      <c r="B86" s="64" t="s">
        <v>121</v>
      </c>
      <c r="C86" s="14" t="s">
        <v>137</v>
      </c>
      <c r="D86" s="12" t="s">
        <v>33</v>
      </c>
      <c r="E86" s="12"/>
      <c r="F86" s="46">
        <f>G86+I86+K86+M86+O86+Q86+S86+U86</f>
        <v>437.09999999999997</v>
      </c>
      <c r="G86" s="69">
        <f>G87*6</f>
        <v>380.82</v>
      </c>
      <c r="H86" s="67"/>
      <c r="I86" s="69">
        <f>I87*6</f>
        <v>56.279999999999994</v>
      </c>
      <c r="J86" s="67"/>
      <c r="K86" s="65"/>
      <c r="L86" s="30"/>
      <c r="M86" s="65"/>
      <c r="N86" s="30"/>
      <c r="O86" s="65"/>
      <c r="P86" s="30"/>
      <c r="Q86" s="65"/>
      <c r="R86" s="30"/>
      <c r="S86" s="65"/>
      <c r="T86" s="65"/>
      <c r="U86" s="65"/>
      <c r="V86" s="65"/>
      <c r="W86" s="68"/>
      <c r="X86" s="68"/>
      <c r="Y86" s="35"/>
      <c r="Z86" s="35"/>
      <c r="AA86" s="35"/>
      <c r="AB86" s="13"/>
    </row>
    <row r="87" spans="1:28" ht="30" x14ac:dyDescent="0.25">
      <c r="A87" s="9"/>
      <c r="B87" s="64" t="s">
        <v>122</v>
      </c>
      <c r="C87" s="14" t="s">
        <v>147</v>
      </c>
      <c r="D87" s="12" t="s">
        <v>18</v>
      </c>
      <c r="E87" s="12"/>
      <c r="F87" s="30">
        <f>G87+I87+K87+M87+O87+Q87+S87+U87</f>
        <v>72.849999999999994</v>
      </c>
      <c r="G87" s="65">
        <f>28.78+2.8+2.87+2.89+2.07+14.29+0.96+0.96+4.47+2.81+0.16+0.41</f>
        <v>63.47</v>
      </c>
      <c r="H87" s="67"/>
      <c r="I87" s="65">
        <f>2.91+6.47</f>
        <v>9.379999999999999</v>
      </c>
      <c r="J87" s="67"/>
      <c r="K87" s="30"/>
      <c r="L87" s="30"/>
      <c r="M87" s="67"/>
      <c r="N87" s="30"/>
      <c r="O87" s="30"/>
      <c r="P87" s="30"/>
      <c r="Q87" s="67"/>
      <c r="R87" s="30"/>
      <c r="S87" s="30"/>
      <c r="T87" s="30"/>
      <c r="U87" s="67"/>
      <c r="V87" s="30"/>
      <c r="W87" s="68"/>
      <c r="X87" s="68"/>
      <c r="Y87" s="35"/>
      <c r="Z87" s="35"/>
      <c r="AA87" s="35"/>
      <c r="AB87" s="13"/>
    </row>
    <row r="88" spans="1:28" s="1" customFormat="1" ht="15" x14ac:dyDescent="0.25">
      <c r="A88" s="8">
        <v>1</v>
      </c>
      <c r="B88" s="88" t="s">
        <v>67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90"/>
    </row>
    <row r="89" spans="1:28" ht="15" x14ac:dyDescent="0.25">
      <c r="B89" s="10" t="s">
        <v>131</v>
      </c>
      <c r="C89" s="14" t="s">
        <v>31</v>
      </c>
      <c r="D89" s="12" t="s">
        <v>29</v>
      </c>
      <c r="E89" s="12"/>
      <c r="F89" s="30">
        <f>G89+I89+K89+M89+O89+Q89+S89+U89</f>
        <v>453.69000000000005</v>
      </c>
      <c r="G89" s="44">
        <f>7*13.37+2*14.37+2*14.29+4*13.58+2*13.2+11.46+2*10.69+13.92+2.1+3*10.64+2*9.97+9.99+14.04+2*3.06</f>
        <v>362.50000000000006</v>
      </c>
      <c r="H89" s="13"/>
      <c r="I89" s="44">
        <f>2*14.04+2*9.97+4*9.99+3.21</f>
        <v>91.189999999999984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5"/>
      <c r="X89" s="45"/>
      <c r="Y89" s="45"/>
      <c r="Z89" s="45"/>
      <c r="AA89" s="45"/>
      <c r="AB89" s="14"/>
    </row>
    <row r="90" spans="1:28" ht="15" x14ac:dyDescent="0.25">
      <c r="B90" s="10" t="s">
        <v>132</v>
      </c>
      <c r="C90" s="14" t="s">
        <v>32</v>
      </c>
      <c r="D90" s="12" t="s">
        <v>33</v>
      </c>
      <c r="E90" s="12"/>
      <c r="F90" s="46">
        <f>G90+I90+K90+M90+M90+O90+Q90+S90+U90</f>
        <v>477.56842105263166</v>
      </c>
      <c r="G90" s="47">
        <f>G89/0.95</f>
        <v>381.57894736842115</v>
      </c>
      <c r="H90" s="13"/>
      <c r="I90" s="47">
        <f>I89/0.95</f>
        <v>95.989473684210509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5"/>
      <c r="X90" s="45"/>
      <c r="Y90" s="45"/>
      <c r="Z90" s="45"/>
      <c r="AA90" s="45"/>
      <c r="AB90" s="14"/>
    </row>
    <row r="91" spans="1:28" ht="15" x14ac:dyDescent="0.25">
      <c r="B91" s="10" t="s">
        <v>133</v>
      </c>
      <c r="C91" s="14" t="s">
        <v>34</v>
      </c>
      <c r="D91" s="12" t="s">
        <v>33</v>
      </c>
      <c r="E91" s="12"/>
      <c r="F91" s="46">
        <f>G91+I91+K91+M91+O91+Q91+S91+U91</f>
        <v>40</v>
      </c>
      <c r="G91" s="44">
        <f>7+2+2+4+2+1+2+1+1+3+2+1+1+2</f>
        <v>31</v>
      </c>
      <c r="H91" s="13"/>
      <c r="I91" s="44">
        <f>2+2+4+1</f>
        <v>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5"/>
      <c r="X91" s="45"/>
      <c r="Y91" s="45"/>
      <c r="Z91" s="45"/>
      <c r="AA91" s="45"/>
      <c r="AB91" s="14"/>
    </row>
    <row r="92" spans="1:28" ht="15" x14ac:dyDescent="0.25">
      <c r="B92" s="10" t="s">
        <v>134</v>
      </c>
      <c r="C92" s="14" t="s">
        <v>35</v>
      </c>
      <c r="D92" s="12" t="s">
        <v>33</v>
      </c>
      <c r="E92" s="12"/>
      <c r="F92" s="46">
        <f>G92+I92+K92+M92+O92+Q92+S92+U92</f>
        <v>80</v>
      </c>
      <c r="G92" s="44">
        <f>2*(7+2+2+4+2+1+2+1+1+3+2+1+1+2)</f>
        <v>62</v>
      </c>
      <c r="H92" s="13"/>
      <c r="I92" s="44">
        <f>2*(2+2+4+1)</f>
        <v>18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5"/>
      <c r="X92" s="45"/>
      <c r="Y92" s="45"/>
      <c r="Z92" s="45"/>
      <c r="AA92" s="45"/>
      <c r="AB92" s="14"/>
    </row>
    <row r="93" spans="1:28" s="1" customFormat="1" ht="15" x14ac:dyDescent="0.25">
      <c r="A93" s="8">
        <v>1</v>
      </c>
      <c r="B93" s="88" t="s">
        <v>144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90"/>
    </row>
    <row r="94" spans="1:28" ht="30" x14ac:dyDescent="0.25">
      <c r="B94" s="48" t="s">
        <v>135</v>
      </c>
      <c r="C94" s="14" t="s">
        <v>146</v>
      </c>
      <c r="D94" s="12" t="s">
        <v>33</v>
      </c>
      <c r="E94" s="12"/>
      <c r="F94" s="46">
        <v>35</v>
      </c>
      <c r="G94" s="44"/>
      <c r="H94" s="13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5"/>
      <c r="X94" s="45"/>
      <c r="Y94" s="45"/>
      <c r="Z94" s="45"/>
      <c r="AA94" s="45"/>
      <c r="AB94" s="14"/>
    </row>
    <row r="95" spans="1:28" s="1" customFormat="1" ht="15" x14ac:dyDescent="0.25">
      <c r="A95" s="8">
        <v>1</v>
      </c>
      <c r="B95" s="88" t="s">
        <v>145</v>
      </c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90"/>
    </row>
    <row r="96" spans="1:28" ht="30" x14ac:dyDescent="0.25">
      <c r="B96" s="48" t="s">
        <v>139</v>
      </c>
      <c r="C96" s="49" t="s">
        <v>68</v>
      </c>
      <c r="D96" s="53" t="s">
        <v>69</v>
      </c>
      <c r="E96" s="53"/>
      <c r="F96" s="55">
        <f>F8+F53</f>
        <v>6266.2380799999992</v>
      </c>
      <c r="G96" s="50"/>
      <c r="H96" s="13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5"/>
      <c r="X96" s="45"/>
      <c r="Y96" s="45"/>
      <c r="Z96" s="45"/>
      <c r="AA96" s="45"/>
      <c r="AB96" s="14"/>
    </row>
    <row r="97" spans="1:35" ht="15" x14ac:dyDescent="0.25">
      <c r="B97" s="48" t="s">
        <v>140</v>
      </c>
      <c r="C97" s="49" t="s">
        <v>70</v>
      </c>
      <c r="D97" s="53" t="s">
        <v>69</v>
      </c>
      <c r="E97" s="53"/>
      <c r="F97" s="56">
        <f>F96</f>
        <v>6266.2380799999992</v>
      </c>
      <c r="G97" s="33"/>
      <c r="H97" s="13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5"/>
      <c r="X97" s="45"/>
      <c r="Y97" s="45"/>
      <c r="Z97" s="45"/>
      <c r="AA97" s="45"/>
      <c r="AB97" s="14"/>
    </row>
    <row r="98" spans="1:35" ht="15" x14ac:dyDescent="0.25">
      <c r="B98" s="48" t="s">
        <v>141</v>
      </c>
      <c r="C98" s="51" t="s">
        <v>71</v>
      </c>
      <c r="D98" s="54" t="s">
        <v>72</v>
      </c>
      <c r="E98" s="54"/>
      <c r="F98" s="57">
        <v>1</v>
      </c>
      <c r="G98" s="33"/>
      <c r="H98" s="1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5"/>
      <c r="X98" s="45"/>
      <c r="Y98" s="45"/>
      <c r="Z98" s="45"/>
      <c r="AA98" s="45"/>
      <c r="AB98" s="14"/>
    </row>
    <row r="99" spans="1:35" ht="15" x14ac:dyDescent="0.25">
      <c r="B99" s="48" t="s">
        <v>142</v>
      </c>
      <c r="C99" s="51" t="s">
        <v>73</v>
      </c>
      <c r="D99" s="54" t="s">
        <v>72</v>
      </c>
      <c r="E99" s="54"/>
      <c r="F99" s="57">
        <v>1</v>
      </c>
      <c r="G99" s="33"/>
      <c r="H99" s="13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5"/>
      <c r="X99" s="45"/>
      <c r="Y99" s="45"/>
      <c r="Z99" s="45"/>
      <c r="AA99" s="45"/>
      <c r="AB99" s="14"/>
    </row>
    <row r="100" spans="1:35" ht="15" x14ac:dyDescent="0.25">
      <c r="B100" s="48" t="s">
        <v>143</v>
      </c>
      <c r="C100" s="51" t="s">
        <v>74</v>
      </c>
      <c r="D100" s="54"/>
      <c r="E100" s="54"/>
      <c r="F100" s="52"/>
      <c r="G100" s="33"/>
      <c r="H100" s="1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5"/>
      <c r="X100" s="45"/>
      <c r="Y100" s="45"/>
      <c r="Z100" s="45"/>
      <c r="AA100" s="45"/>
      <c r="AB100" s="14"/>
    </row>
    <row r="101" spans="1:35" x14ac:dyDescent="0.25">
      <c r="B101" s="17"/>
      <c r="C101" s="2" t="s">
        <v>37</v>
      </c>
      <c r="D101" s="2"/>
      <c r="E101" s="2"/>
      <c r="F101" s="2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35" ht="38.25" customHeight="1" x14ac:dyDescent="0.25">
      <c r="C102" s="71" t="s">
        <v>162</v>
      </c>
      <c r="H102" s="18"/>
    </row>
    <row r="103" spans="1:35" s="3" customFormat="1" ht="57.75" customHeight="1" x14ac:dyDescent="0.25">
      <c r="A103" s="1"/>
      <c r="B103" s="1"/>
      <c r="C103" s="2" t="s">
        <v>104</v>
      </c>
      <c r="D103" s="1"/>
      <c r="E103" s="1"/>
      <c r="F103" s="20"/>
      <c r="W103" s="4"/>
      <c r="X103" s="4"/>
      <c r="Y103" s="4"/>
      <c r="Z103" s="4"/>
      <c r="AA103" s="4"/>
      <c r="AB103" s="2"/>
      <c r="AC103" s="2"/>
      <c r="AD103" s="2"/>
      <c r="AE103" s="2"/>
      <c r="AF103" s="2"/>
      <c r="AG103" s="2"/>
      <c r="AH103" s="2"/>
      <c r="AI103" s="2"/>
    </row>
    <row r="104" spans="1:35" ht="45" x14ac:dyDescent="0.25">
      <c r="C104" s="2" t="s">
        <v>105</v>
      </c>
    </row>
    <row r="106" spans="1:35" s="3" customFormat="1" x14ac:dyDescent="0.25">
      <c r="A106" s="1"/>
      <c r="B106" s="1"/>
      <c r="C106" s="2"/>
      <c r="D106" s="101"/>
      <c r="E106" s="101"/>
      <c r="F106" s="101"/>
      <c r="W106" s="4"/>
      <c r="X106" s="4"/>
      <c r="Y106" s="4"/>
      <c r="Z106" s="4"/>
      <c r="AA106" s="4"/>
      <c r="AB106" s="2"/>
      <c r="AC106" s="2"/>
      <c r="AD106" s="2"/>
      <c r="AE106" s="2"/>
      <c r="AF106" s="2"/>
      <c r="AG106" s="2"/>
      <c r="AH106" s="2"/>
      <c r="AI106" s="2"/>
    </row>
  </sheetData>
  <mergeCells count="43">
    <mergeCell ref="C1:AB1"/>
    <mergeCell ref="C2:AB2"/>
    <mergeCell ref="G3:J3"/>
    <mergeCell ref="K3:N3"/>
    <mergeCell ref="O3:R3"/>
    <mergeCell ref="S3:V3"/>
    <mergeCell ref="J4:J5"/>
    <mergeCell ref="K4:K5"/>
    <mergeCell ref="L4:L5"/>
    <mergeCell ref="M4:M5"/>
    <mergeCell ref="A4:A5"/>
    <mergeCell ref="B4:B5"/>
    <mergeCell ref="C4:C5"/>
    <mergeCell ref="D4:D5"/>
    <mergeCell ref="F4:F5"/>
    <mergeCell ref="G4:G5"/>
    <mergeCell ref="E4:E5"/>
    <mergeCell ref="T4:T5"/>
    <mergeCell ref="U4:U5"/>
    <mergeCell ref="V4:V5"/>
    <mergeCell ref="D106:F106"/>
    <mergeCell ref="B23:AB23"/>
    <mergeCell ref="B7:AB7"/>
    <mergeCell ref="B6:AB6"/>
    <mergeCell ref="B25:AB25"/>
    <mergeCell ref="N4:N5"/>
    <mergeCell ref="O4:O5"/>
    <mergeCell ref="P4:P5"/>
    <mergeCell ref="Q4:Q5"/>
    <mergeCell ref="R4:R5"/>
    <mergeCell ref="S4:S5"/>
    <mergeCell ref="H4:H5"/>
    <mergeCell ref="I4:I5"/>
    <mergeCell ref="B88:AB88"/>
    <mergeCell ref="B95:AB95"/>
    <mergeCell ref="B61:AB61"/>
    <mergeCell ref="B42:AB42"/>
    <mergeCell ref="B51:AB51"/>
    <mergeCell ref="B52:AB52"/>
    <mergeCell ref="B73:AB73"/>
    <mergeCell ref="B65:AB65"/>
    <mergeCell ref="B82:AB82"/>
    <mergeCell ref="B93:AB93"/>
  </mergeCells>
  <phoneticPr fontId="12" type="noConversion"/>
  <pageMargins left="0.7" right="0.7" top="0.75" bottom="0.75" header="0.3" footer="0.3"/>
  <pageSetup paperSize="9" scale="37" fitToHeight="0" orientation="portrait" r:id="rId1"/>
  <colBreaks count="1" manualBreakCount="1">
    <brk id="13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фасады штукатурка </vt:lpstr>
      <vt:lpstr>'фасады штукатурка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devcent</dc:creator>
  <cp:lastModifiedBy>devcent</cp:lastModifiedBy>
  <cp:lastPrinted>2023-02-16T10:00:25Z</cp:lastPrinted>
  <dcterms:created xsi:type="dcterms:W3CDTF">2023-01-24T07:11:19Z</dcterms:created>
  <dcterms:modified xsi:type="dcterms:W3CDTF">2023-02-16T14:08:40Z</dcterms:modified>
</cp:coreProperties>
</file>