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7D9BCB8-94E0-49C3-AB1A-FF6F61E44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лаг.(571 6) ГОТОВЫЙ" sheetId="10" r:id="rId1"/>
    <sheet name="Лист1" sheetId="11" r:id="rId2"/>
  </sheets>
  <definedNames>
    <definedName name="_xlnm.Print_Area" localSheetId="0">'Благ.(571 6) ГОТОВЫЙ'!$A$1:$J$57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0" l="1"/>
  <c r="D53" i="10" s="1"/>
  <c r="D48" i="10"/>
  <c r="D50" i="10" s="1"/>
  <c r="D47" i="10"/>
  <c r="D38" i="10"/>
  <c r="D45" i="10" s="1"/>
  <c r="D35" i="10"/>
  <c r="D37" i="10" s="1"/>
  <c r="D31" i="10"/>
  <c r="D30" i="10"/>
  <c r="D29" i="10"/>
  <c r="D26" i="10"/>
  <c r="D28" i="10" s="1"/>
  <c r="D23" i="10"/>
  <c r="D52" i="10" l="1"/>
  <c r="D39" i="10"/>
  <c r="D42" i="10"/>
  <c r="D49" i="10"/>
  <c r="D36" i="10"/>
  <c r="D18" i="10"/>
  <c r="D19" i="10" s="1"/>
  <c r="D13" i="10"/>
  <c r="D16" i="10" s="1"/>
  <c r="D12" i="10"/>
  <c r="D10" i="10"/>
  <c r="D9" i="10"/>
  <c r="D8" i="10"/>
  <c r="D7" i="10"/>
  <c r="D24" i="10"/>
  <c r="E22" i="11"/>
  <c r="D3" i="11"/>
  <c r="E3" i="11" s="1"/>
  <c r="F3" i="11" s="1"/>
  <c r="D4" i="11"/>
  <c r="E4" i="11" s="1"/>
  <c r="F4" i="11" s="1"/>
  <c r="D5" i="11"/>
  <c r="E5" i="11" s="1"/>
  <c r="F5" i="11" s="1"/>
  <c r="D6" i="11"/>
  <c r="E6" i="11" s="1"/>
  <c r="F6" i="11" s="1"/>
  <c r="D7" i="11"/>
  <c r="D8" i="11"/>
  <c r="D9" i="11"/>
  <c r="D10" i="11"/>
  <c r="D11" i="11"/>
  <c r="E11" i="11" s="1"/>
  <c r="F11" i="11" s="1"/>
  <c r="D12" i="11"/>
  <c r="E12" i="11" s="1"/>
  <c r="F12" i="11" s="1"/>
  <c r="D13" i="11"/>
  <c r="E13" i="11" s="1"/>
  <c r="F13" i="11" s="1"/>
  <c r="D14" i="11"/>
  <c r="E14" i="11" s="1"/>
  <c r="F14" i="11" s="1"/>
  <c r="D15" i="11"/>
  <c r="E15" i="11" s="1"/>
  <c r="F15" i="11" s="1"/>
  <c r="D16" i="11"/>
  <c r="E16" i="11" s="1"/>
  <c r="F16" i="11" s="1"/>
  <c r="D17" i="11"/>
  <c r="E17" i="11" s="1"/>
  <c r="F17" i="11" s="1"/>
  <c r="D18" i="11"/>
  <c r="E18" i="11" s="1"/>
  <c r="F18" i="11" s="1"/>
  <c r="D19" i="11"/>
  <c r="E19" i="11" s="1"/>
  <c r="F19" i="11" s="1"/>
  <c r="D20" i="11"/>
  <c r="E20" i="11" s="1"/>
  <c r="F20" i="11" s="1"/>
  <c r="D21" i="11"/>
  <c r="D2" i="11"/>
  <c r="F9" i="11"/>
  <c r="F10" i="11"/>
  <c r="F21" i="11"/>
  <c r="E7" i="11"/>
  <c r="F7" i="11" s="1"/>
  <c r="E8" i="11"/>
  <c r="F8" i="11" s="1"/>
  <c r="E9" i="11"/>
  <c r="E10" i="11"/>
  <c r="E21" i="11"/>
  <c r="E2" i="11"/>
  <c r="F2" i="11" s="1"/>
  <c r="D33" i="10"/>
  <c r="D34" i="10"/>
  <c r="D32" i="10"/>
  <c r="D27" i="10"/>
  <c r="D11" i="10"/>
  <c r="D40" i="10" l="1"/>
  <c r="D41" i="10"/>
  <c r="D44" i="10"/>
  <c r="D43" i="10"/>
  <c r="D21" i="10"/>
  <c r="D20" i="10"/>
  <c r="D22" i="10"/>
  <c r="D14" i="10"/>
  <c r="D15" i="10"/>
  <c r="D25" i="10"/>
  <c r="F22" i="11"/>
  <c r="D17" i="10" l="1"/>
</calcChain>
</file>

<file path=xl/sharedStrings.xml><?xml version="1.0" encoding="utf-8"?>
<sst xmlns="http://schemas.openxmlformats.org/spreadsheetml/2006/main" count="184" uniqueCount="136">
  <si>
    <t>№ п/п</t>
  </si>
  <si>
    <t>Наименование работ и материалов</t>
  </si>
  <si>
    <t>Ед. изм.</t>
  </si>
  <si>
    <t>м3</t>
  </si>
  <si>
    <t>м2</t>
  </si>
  <si>
    <t>тн</t>
  </si>
  <si>
    <t>кг</t>
  </si>
  <si>
    <t>мп</t>
  </si>
  <si>
    <t>2.1</t>
  </si>
  <si>
    <t>2.2</t>
  </si>
  <si>
    <t>2.3</t>
  </si>
  <si>
    <t>Примечание</t>
  </si>
  <si>
    <t>2</t>
  </si>
  <si>
    <t>5</t>
  </si>
  <si>
    <t>5.1</t>
  </si>
  <si>
    <t>5.2</t>
  </si>
  <si>
    <t>5.3</t>
  </si>
  <si>
    <t>5.4</t>
  </si>
  <si>
    <t>1.4</t>
  </si>
  <si>
    <t>Посев газонов из семян газоных трав</t>
  </si>
  <si>
    <t>механизированным способом бульдозером  70%</t>
  </si>
  <si>
    <t>Подгрунтовка нижнего слоя асфальтобетонного покрытия битумной эмульсией ЭБК</t>
  </si>
  <si>
    <t>4</t>
  </si>
  <si>
    <t>4.1</t>
  </si>
  <si>
    <t>4.2</t>
  </si>
  <si>
    <t>11.2</t>
  </si>
  <si>
    <t>11.1</t>
  </si>
  <si>
    <t>1.5</t>
  </si>
  <si>
    <t>0,42т/1000м2</t>
  </si>
  <si>
    <t>145,2т/1000м2</t>
  </si>
  <si>
    <t>97,4т/1000м2</t>
  </si>
  <si>
    <t>94,3т/1000м2</t>
  </si>
  <si>
    <t>1</t>
  </si>
  <si>
    <t>1.1</t>
  </si>
  <si>
    <t>1.2</t>
  </si>
  <si>
    <t>3</t>
  </si>
  <si>
    <t>3.1</t>
  </si>
  <si>
    <t>3.2</t>
  </si>
  <si>
    <t>3.4</t>
  </si>
  <si>
    <t>6.1</t>
  </si>
  <si>
    <t>6.2</t>
  </si>
  <si>
    <t>6.3</t>
  </si>
  <si>
    <t>10.1</t>
  </si>
  <si>
    <t>10.2</t>
  </si>
  <si>
    <t>2.4</t>
  </si>
  <si>
    <t xml:space="preserve">Устройство монтажного слоя из ЦПС  1:10, δ=0,05м </t>
  </si>
  <si>
    <r>
      <t xml:space="preserve">Устройство плитки тротуарной бетонной 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=0,08</t>
    </r>
  </si>
  <si>
    <r>
      <t xml:space="preserve">Асфальтобетон песчаный </t>
    </r>
    <r>
      <rPr>
        <b/>
        <sz val="12"/>
        <color theme="1"/>
        <rFont val="Times New Roman"/>
        <family val="1"/>
        <charset val="204"/>
      </rPr>
      <t>плотный</t>
    </r>
    <r>
      <rPr>
        <sz val="12"/>
        <color theme="1"/>
        <rFont val="Times New Roman"/>
        <family val="1"/>
        <charset val="204"/>
      </rPr>
      <t xml:space="preserve"> тип Г, марки II, ГОСТ 9128-2013 δ=0,04м</t>
    </r>
  </si>
  <si>
    <t>6</t>
  </si>
  <si>
    <t>Д20</t>
  </si>
  <si>
    <t>Д21</t>
  </si>
  <si>
    <t>Д22</t>
  </si>
  <si>
    <t>Д23</t>
  </si>
  <si>
    <t>Д24</t>
  </si>
  <si>
    <t>Д25</t>
  </si>
  <si>
    <t>Д26</t>
  </si>
  <si>
    <t>Д27</t>
  </si>
  <si>
    <t>Д28</t>
  </si>
  <si>
    <t>Д29</t>
  </si>
  <si>
    <t>Д30</t>
  </si>
  <si>
    <t>Д31</t>
  </si>
  <si>
    <t>Д32</t>
  </si>
  <si>
    <t>Д33</t>
  </si>
  <si>
    <t>Д34</t>
  </si>
  <si>
    <t>Д35</t>
  </si>
  <si>
    <t>Д36</t>
  </si>
  <si>
    <t>Д37</t>
  </si>
  <si>
    <t>Д38</t>
  </si>
  <si>
    <t>Д39</t>
  </si>
  <si>
    <t>крышка</t>
  </si>
  <si>
    <t>лоток трубы</t>
  </si>
  <si>
    <t>Н</t>
  </si>
  <si>
    <t>№</t>
  </si>
  <si>
    <t>V обр.засыпки песком</t>
  </si>
  <si>
    <t>лоток трубы+0,5м+0,15 подсыпка</t>
  </si>
  <si>
    <t>3.3</t>
  </si>
  <si>
    <t>Цена  ед за работу руб.</t>
  </si>
  <si>
    <t>Стоимость работ , руб.</t>
  </si>
  <si>
    <t>Цена  ед за материала, руб.</t>
  </si>
  <si>
    <t>Стоимость мтариалов , руб.</t>
  </si>
  <si>
    <t>Общая стоимость, руб.</t>
  </si>
  <si>
    <t>8.1</t>
  </si>
  <si>
    <t>8.2</t>
  </si>
  <si>
    <t>8.3</t>
  </si>
  <si>
    <t>9.1</t>
  </si>
  <si>
    <t>1.3</t>
  </si>
  <si>
    <t>1.6</t>
  </si>
  <si>
    <t>Объемы работ</t>
  </si>
  <si>
    <t>Устройство асф./бет. проездов (тип А-6 №5) тип I</t>
  </si>
  <si>
    <t xml:space="preserve">Устройство основания из щебеня гранитный марки 1000-1200 , фракцией 40-70мм по ГОСТ 8267-93 δ=0,22м  </t>
  </si>
  <si>
    <t>Расклинцовка щебнем гранитным марки 1200 , фр.20-40мм,  h=0,02 м</t>
  </si>
  <si>
    <t>Расклинцовка щебнем гранитным марки 1200 , фр.5-20мм,  h=0,015 м</t>
  </si>
  <si>
    <r>
      <t xml:space="preserve">Асфальтобетон горячий </t>
    </r>
    <r>
      <rPr>
        <b/>
        <sz val="12"/>
        <color theme="1"/>
        <rFont val="Times New Roman"/>
        <family val="1"/>
        <charset val="204"/>
      </rPr>
      <t>пористый</t>
    </r>
    <r>
      <rPr>
        <sz val="12"/>
        <color theme="1"/>
        <rFont val="Times New Roman"/>
        <family val="1"/>
        <charset val="204"/>
      </rPr>
      <t xml:space="preserve"> крупнозернистой смеси марки I  δ=0,06м</t>
    </r>
  </si>
  <si>
    <t>Асфальтобетон мелкозернистый плотный марок I, II  δ=0,04м</t>
  </si>
  <si>
    <t>Устройство тротуаров из бетонной плитки типа "Брусчатка" тип II</t>
  </si>
  <si>
    <t>из них 155,52 м2 давальческие материалы</t>
  </si>
  <si>
    <t>Устройство тротуаров из бетонной плитки типа "Брусчатка" для возможного проезда пожарной машины тип III</t>
  </si>
  <si>
    <t xml:space="preserve">Устройство основания из щебеня гранитный М800, фракцией 20-40мм по ГОСТ 8267-93 δ=0,15м  </t>
  </si>
  <si>
    <t>Расклинцовка щебень  гранитный М800,  фр.5-20 мм., δ=0,015м</t>
  </si>
  <si>
    <t xml:space="preserve">Устройство основания из щебеня гранитный М800, фракцией 20-40мм по ГОСТ 8267-93 δ=0,19м  </t>
  </si>
  <si>
    <t>Расклинцовка щебень  гранитный М800 фр.5-20 мм. δ=0,015м</t>
  </si>
  <si>
    <t>Гранитный отсев  М800, фр.3мм δ=0,05м (светлое)</t>
  </si>
  <si>
    <t>Гранитный отсев  М800, фр.3мм δ=0,05м (темное)</t>
  </si>
  <si>
    <t>Расклинцовка щебень гранитный марки М800 фр.5-20 мм. δ=0,015м</t>
  </si>
  <si>
    <t>Устройство отмостки тип IV</t>
  </si>
  <si>
    <t>Устройство площадок и дорожек с набивным покрытием тип V</t>
  </si>
  <si>
    <t>Щебень гранитный М1000, фр.20-40мм с расклинцовкой δ=0,15м</t>
  </si>
  <si>
    <t>Расклинцовка щебень  гранитный М1000 фр.5-20 мм., δ=0,015м</t>
  </si>
  <si>
    <t>Гранитный отсев  М1000, фр.0-5мм, δ=0,05м</t>
  </si>
  <si>
    <t xml:space="preserve">Щебень М800 фр. 20-40 мм с расклинцовкой толщ. 0,15 м </t>
  </si>
  <si>
    <t>Расклинцовка щебень гранитный марки 800 фр.5-20 мм. δ=0,015м</t>
  </si>
  <si>
    <t>Устройство газона тип VIII</t>
  </si>
  <si>
    <r>
      <t xml:space="preserve">Устройство насыпи из </t>
    </r>
    <r>
      <rPr>
        <b/>
        <sz val="11"/>
        <color theme="1"/>
        <rFont val="Times New Roman"/>
        <family val="1"/>
        <charset val="204"/>
      </rPr>
      <t>местного</t>
    </r>
    <r>
      <rPr>
        <sz val="11"/>
        <color theme="1"/>
        <rFont val="Times New Roman"/>
        <family val="1"/>
        <charset val="204"/>
      </rPr>
      <t xml:space="preserve">  0,10 м под устройство газона, перемещение растительного грунта из отвала, в том числе:</t>
    </r>
  </si>
  <si>
    <t>8.1.1</t>
  </si>
  <si>
    <t>механизированным способом бульдозером 70%</t>
  </si>
  <si>
    <t>8.1.2</t>
  </si>
  <si>
    <t>вручную 30%</t>
  </si>
  <si>
    <r>
      <t>Устройство насыпи из</t>
    </r>
    <r>
      <rPr>
        <b/>
        <sz val="12"/>
        <color theme="1"/>
        <rFont val="Times New Roman"/>
        <family val="1"/>
        <charset val="204"/>
      </rPr>
      <t xml:space="preserve"> покупного</t>
    </r>
    <r>
      <rPr>
        <sz val="12"/>
        <color theme="1"/>
        <rFont val="Times New Roman"/>
        <family val="1"/>
        <charset val="204"/>
      </rPr>
      <t xml:space="preserve"> грунта 0,10 м под устройство газона</t>
    </r>
  </si>
  <si>
    <t>8.2.1</t>
  </si>
  <si>
    <t>8.2.2</t>
  </si>
  <si>
    <t>Устройство ямы с песком для прыжков в длину тип IХ</t>
  </si>
  <si>
    <t xml:space="preserve">Песок крупнозернистый толщ. 0.20 м. </t>
  </si>
  <si>
    <t>Устройство бортового камня типа БР.100.30.15 (бордюр прямой) на бетонном основании (асфальт/газон, тротуар из плитки с усиленным основанием/газон)</t>
  </si>
  <si>
    <t>Бетон В15</t>
  </si>
  <si>
    <t xml:space="preserve">БР.100.30.15 </t>
  </si>
  <si>
    <t>пм</t>
  </si>
  <si>
    <t>Устройство бортового камня типа БР.100.20.8 (бордюр прямой) на бетонном основании (тротуар из плитки/газон, отмостка/газон, набивные дорожки/ газон, покрытие "мастерфайбр"/газон, покрытие "мастерфайбр"/спортивный газон, яма для прыжков/газон)</t>
  </si>
  <si>
    <t>БР.100.20.8</t>
  </si>
  <si>
    <t>Выполнено в соответствии с проектом 14184_7 ГП</t>
  </si>
  <si>
    <t>Устройство основания под площадки с покрытием "мастерфайбер" тип VI</t>
  </si>
  <si>
    <t>Примечание.</t>
  </si>
  <si>
    <t>В стоимости материалов учесть коэффициент расхода.</t>
  </si>
  <si>
    <t>7.1</t>
  </si>
  <si>
    <t>7.2</t>
  </si>
  <si>
    <t>Устройство основания под спортивный газон на футбольном поле тип VII</t>
  </si>
  <si>
    <t>Набор работ для благоустройство территории строящегося объекта строительства «Образовательное учреждение на 825 учащихся по адресу: Санкт-Петербург, пос. Шушары, Пулковское, уч. 569, участок 33»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</si>
</sst>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4" fillId="0" borderId="4" xfId="0" applyFont="1" applyFill="1" applyBorder="1"/>
    <xf numFmtId="49" fontId="1" fillId="0" borderId="0" xfId="0" applyNumberFormat="1" applyFont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0" fillId="0" borderId="1" xfId="0" applyNumberFormat="1" applyBorder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 2" xfId="1" xr:uid="{A4E6CE20-A147-4F19-94AE-658D6A3773E6}"/>
  </cellStyles>
  <dxfs count="0"/>
  <tableStyles count="0" defaultTableStyle="TableStyleMedium2" defaultPivotStyle="PivotStyleLight16"/>
  <colors>
    <mruColors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="80" zoomScaleNormal="80" workbookViewId="0">
      <selection activeCell="K6" sqref="K6"/>
    </sheetView>
  </sheetViews>
  <sheetFormatPr defaultColWidth="9.140625" defaultRowHeight="15" x14ac:dyDescent="0.25"/>
  <cols>
    <col min="1" max="1" width="8.42578125" style="6" customWidth="1"/>
    <col min="2" max="2" width="70.28515625" style="3" customWidth="1"/>
    <col min="3" max="3" width="11.85546875" style="1" customWidth="1"/>
    <col min="4" max="9" width="16" style="4" customWidth="1"/>
    <col min="10" max="10" width="34.42578125" style="1" customWidth="1"/>
    <col min="11" max="16384" width="9.140625" style="1"/>
  </cols>
  <sheetData>
    <row r="1" spans="1:12" ht="15.75" customHeight="1" x14ac:dyDescent="0.25">
      <c r="A1" s="79" t="s">
        <v>135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ht="12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2" ht="9.75" customHeight="1" x14ac:dyDescent="0.25"/>
    <row r="4" spans="1:12" s="2" customFormat="1" ht="30" customHeight="1" x14ac:dyDescent="0.25">
      <c r="A4" s="85" t="s">
        <v>0</v>
      </c>
      <c r="B4" s="86" t="s">
        <v>1</v>
      </c>
      <c r="C4" s="86" t="s">
        <v>2</v>
      </c>
      <c r="D4" s="81" t="s">
        <v>87</v>
      </c>
      <c r="E4" s="87" t="s">
        <v>76</v>
      </c>
      <c r="F4" s="87" t="s">
        <v>77</v>
      </c>
      <c r="G4" s="87" t="s">
        <v>78</v>
      </c>
      <c r="H4" s="87" t="s">
        <v>79</v>
      </c>
      <c r="I4" s="87" t="s">
        <v>80</v>
      </c>
      <c r="J4" s="83" t="s">
        <v>11</v>
      </c>
    </row>
    <row r="5" spans="1:12" s="2" customFormat="1" ht="30.75" customHeight="1" x14ac:dyDescent="0.25">
      <c r="A5" s="85"/>
      <c r="B5" s="86"/>
      <c r="C5" s="86"/>
      <c r="D5" s="82"/>
      <c r="E5" s="88"/>
      <c r="F5" s="88"/>
      <c r="G5" s="88"/>
      <c r="H5" s="88"/>
      <c r="I5" s="88"/>
      <c r="J5" s="84"/>
    </row>
    <row r="6" spans="1:12" s="5" customFormat="1" ht="18.75" x14ac:dyDescent="0.25">
      <c r="A6" s="47" t="s">
        <v>32</v>
      </c>
      <c r="B6" s="48" t="s">
        <v>88</v>
      </c>
      <c r="C6" s="49" t="s">
        <v>4</v>
      </c>
      <c r="D6" s="50">
        <v>726.87</v>
      </c>
      <c r="E6" s="28"/>
      <c r="F6" s="28"/>
      <c r="G6" s="28"/>
      <c r="H6" s="28"/>
      <c r="I6" s="28"/>
      <c r="J6" s="18"/>
    </row>
    <row r="7" spans="1:12" ht="31.5" x14ac:dyDescent="0.25">
      <c r="A7" s="17" t="s">
        <v>33</v>
      </c>
      <c r="B7" s="18" t="s">
        <v>89</v>
      </c>
      <c r="C7" s="19" t="s">
        <v>3</v>
      </c>
      <c r="D7" s="20">
        <f>D6*0.22+0.04*(80+0.56)</f>
        <v>163.13380000000001</v>
      </c>
      <c r="E7" s="20"/>
      <c r="F7" s="20"/>
      <c r="G7" s="20"/>
      <c r="H7" s="20"/>
      <c r="I7" s="20"/>
      <c r="J7" s="21"/>
    </row>
    <row r="8" spans="1:12" s="32" customFormat="1" ht="16.5" customHeight="1" x14ac:dyDescent="0.25">
      <c r="A8" s="17" t="s">
        <v>34</v>
      </c>
      <c r="B8" s="18" t="s">
        <v>90</v>
      </c>
      <c r="C8" s="19" t="s">
        <v>3</v>
      </c>
      <c r="D8" s="20">
        <f>D6*0.02</f>
        <v>14.5374</v>
      </c>
      <c r="E8" s="20"/>
      <c r="F8" s="20"/>
      <c r="G8" s="20"/>
      <c r="H8" s="20"/>
      <c r="I8" s="20"/>
      <c r="J8" s="19"/>
    </row>
    <row r="9" spans="1:12" ht="16.5" customHeight="1" x14ac:dyDescent="0.25">
      <c r="A9" s="17" t="s">
        <v>85</v>
      </c>
      <c r="B9" s="18" t="s">
        <v>91</v>
      </c>
      <c r="C9" s="19" t="s">
        <v>3</v>
      </c>
      <c r="D9" s="20">
        <f>D6*0.015</f>
        <v>10.90305</v>
      </c>
      <c r="E9" s="20"/>
      <c r="F9" s="20"/>
      <c r="G9" s="20"/>
      <c r="H9" s="20"/>
      <c r="I9" s="20"/>
      <c r="J9" s="19"/>
    </row>
    <row r="10" spans="1:12" ht="31.5" x14ac:dyDescent="0.25">
      <c r="A10" s="17" t="s">
        <v>18</v>
      </c>
      <c r="B10" s="18" t="s">
        <v>92</v>
      </c>
      <c r="C10" s="19" t="s">
        <v>5</v>
      </c>
      <c r="D10" s="20">
        <f>D6/1000*145.2</f>
        <v>105.541524</v>
      </c>
      <c r="E10" s="20"/>
      <c r="F10" s="20"/>
      <c r="G10" s="20"/>
      <c r="H10" s="20"/>
      <c r="I10" s="20"/>
      <c r="J10" s="23" t="s">
        <v>29</v>
      </c>
      <c r="K10" s="8"/>
      <c r="L10" s="8"/>
    </row>
    <row r="11" spans="1:12" ht="31.5" x14ac:dyDescent="0.25">
      <c r="A11" s="17" t="s">
        <v>27</v>
      </c>
      <c r="B11" s="22" t="s">
        <v>21</v>
      </c>
      <c r="C11" s="24" t="s">
        <v>5</v>
      </c>
      <c r="D11" s="25">
        <f>0.42*D6/1000</f>
        <v>0.30528539999999998</v>
      </c>
      <c r="E11" s="25"/>
      <c r="F11" s="25"/>
      <c r="G11" s="25"/>
      <c r="H11" s="25"/>
      <c r="I11" s="25"/>
      <c r="J11" s="26" t="s">
        <v>28</v>
      </c>
      <c r="K11" s="8"/>
      <c r="L11" s="8"/>
    </row>
    <row r="12" spans="1:12" ht="15.75" x14ac:dyDescent="0.25">
      <c r="A12" s="17" t="s">
        <v>86</v>
      </c>
      <c r="B12" s="18" t="s">
        <v>93</v>
      </c>
      <c r="C12" s="19" t="s">
        <v>5</v>
      </c>
      <c r="D12" s="20">
        <f>D6/1000*97.4</f>
        <v>70.797138000000004</v>
      </c>
      <c r="E12" s="20"/>
      <c r="F12" s="20"/>
      <c r="G12" s="20"/>
      <c r="H12" s="20"/>
      <c r="I12" s="20"/>
      <c r="J12" s="23" t="s">
        <v>30</v>
      </c>
      <c r="K12" s="8"/>
      <c r="L12" s="8"/>
    </row>
    <row r="13" spans="1:12" ht="31.5" x14ac:dyDescent="0.25">
      <c r="A13" s="47" t="s">
        <v>12</v>
      </c>
      <c r="B13" s="48" t="s">
        <v>94</v>
      </c>
      <c r="C13" s="49" t="s">
        <v>4</v>
      </c>
      <c r="D13" s="50">
        <f>103.14+48.73+10+13.02+10.84+7.86+146.82+169.79-18+15.34+28.23+3.38+1.96</f>
        <v>541.11</v>
      </c>
      <c r="E13" s="28"/>
      <c r="F13" s="28"/>
      <c r="G13" s="28"/>
      <c r="H13" s="28"/>
      <c r="I13" s="28"/>
      <c r="J13" s="29"/>
    </row>
    <row r="14" spans="1:12" ht="31.5" x14ac:dyDescent="0.25">
      <c r="A14" s="17" t="s">
        <v>8</v>
      </c>
      <c r="B14" s="18" t="s">
        <v>97</v>
      </c>
      <c r="C14" s="19" t="s">
        <v>3</v>
      </c>
      <c r="D14" s="20">
        <f>D13*0.15+2.03</f>
        <v>83.1965</v>
      </c>
      <c r="E14" s="20"/>
      <c r="F14" s="20"/>
      <c r="G14" s="20"/>
      <c r="H14" s="20"/>
      <c r="I14" s="20"/>
      <c r="J14" s="19"/>
    </row>
    <row r="15" spans="1:12" s="16" customFormat="1" ht="15.75" x14ac:dyDescent="0.25">
      <c r="A15" s="17" t="s">
        <v>9</v>
      </c>
      <c r="B15" s="45" t="s">
        <v>98</v>
      </c>
      <c r="C15" s="19" t="s">
        <v>3</v>
      </c>
      <c r="D15" s="20">
        <f>D13*0.015</f>
        <v>8.1166499999999999</v>
      </c>
      <c r="E15" s="20"/>
      <c r="F15" s="20"/>
      <c r="G15" s="20"/>
      <c r="H15" s="20"/>
      <c r="I15" s="20"/>
      <c r="J15" s="19"/>
    </row>
    <row r="16" spans="1:12" ht="15.75" x14ac:dyDescent="0.25">
      <c r="A16" s="17" t="s">
        <v>10</v>
      </c>
      <c r="B16" s="45" t="s">
        <v>45</v>
      </c>
      <c r="C16" s="19" t="s">
        <v>3</v>
      </c>
      <c r="D16" s="31">
        <f>D13*0.05</f>
        <v>27.055500000000002</v>
      </c>
      <c r="E16" s="31"/>
      <c r="F16" s="31"/>
      <c r="G16" s="31"/>
      <c r="H16" s="31"/>
      <c r="I16" s="31"/>
      <c r="J16" s="19"/>
    </row>
    <row r="17" spans="1:10" ht="31.5" x14ac:dyDescent="0.25">
      <c r="A17" s="17" t="s">
        <v>44</v>
      </c>
      <c r="B17" s="45" t="s">
        <v>46</v>
      </c>
      <c r="C17" s="19" t="s">
        <v>4</v>
      </c>
      <c r="D17" s="31">
        <f>D13</f>
        <v>541.11</v>
      </c>
      <c r="E17" s="31"/>
      <c r="F17" s="31"/>
      <c r="G17" s="31"/>
      <c r="H17" s="31"/>
      <c r="I17" s="31"/>
      <c r="J17" s="37" t="s">
        <v>95</v>
      </c>
    </row>
    <row r="18" spans="1:10" s="9" customFormat="1" ht="31.5" x14ac:dyDescent="0.25">
      <c r="A18" s="47" t="s">
        <v>35</v>
      </c>
      <c r="B18" s="51" t="s">
        <v>96</v>
      </c>
      <c r="C18" s="49" t="s">
        <v>4</v>
      </c>
      <c r="D18" s="50">
        <f>2137+84</f>
        <v>2221</v>
      </c>
      <c r="E18" s="28"/>
      <c r="F18" s="28"/>
      <c r="G18" s="28"/>
      <c r="H18" s="28"/>
      <c r="I18" s="28"/>
      <c r="J18" s="29"/>
    </row>
    <row r="19" spans="1:10" s="9" customFormat="1" ht="31.5" x14ac:dyDescent="0.25">
      <c r="A19" s="17" t="s">
        <v>36</v>
      </c>
      <c r="B19" s="45" t="s">
        <v>99</v>
      </c>
      <c r="C19" s="19" t="s">
        <v>3</v>
      </c>
      <c r="D19" s="20">
        <f>D18*0.19+4.22</f>
        <v>426.21000000000004</v>
      </c>
      <c r="E19" s="20"/>
      <c r="F19" s="20"/>
      <c r="G19" s="20"/>
      <c r="H19" s="20"/>
      <c r="I19" s="20"/>
      <c r="J19" s="19"/>
    </row>
    <row r="20" spans="1:10" s="13" customFormat="1" ht="15.75" x14ac:dyDescent="0.25">
      <c r="A20" s="17" t="s">
        <v>37</v>
      </c>
      <c r="B20" s="45" t="s">
        <v>100</v>
      </c>
      <c r="C20" s="19" t="s">
        <v>3</v>
      </c>
      <c r="D20" s="30">
        <f>D18*0.015</f>
        <v>33.314999999999998</v>
      </c>
      <c r="E20" s="30"/>
      <c r="F20" s="30"/>
      <c r="G20" s="30"/>
      <c r="H20" s="30"/>
      <c r="I20" s="30"/>
      <c r="J20" s="19"/>
    </row>
    <row r="21" spans="1:10" s="9" customFormat="1" ht="15.75" x14ac:dyDescent="0.25">
      <c r="A21" s="17" t="s">
        <v>75</v>
      </c>
      <c r="B21" s="18" t="s">
        <v>45</v>
      </c>
      <c r="C21" s="19" t="s">
        <v>3</v>
      </c>
      <c r="D21" s="31">
        <f>D18*0.05</f>
        <v>111.05000000000001</v>
      </c>
      <c r="E21" s="31"/>
      <c r="F21" s="31"/>
      <c r="G21" s="31"/>
      <c r="H21" s="31"/>
      <c r="I21" s="31"/>
      <c r="J21" s="23"/>
    </row>
    <row r="22" spans="1:10" s="9" customFormat="1" ht="36" customHeight="1" x14ac:dyDescent="0.25">
      <c r="A22" s="17" t="s">
        <v>38</v>
      </c>
      <c r="B22" s="18" t="s">
        <v>46</v>
      </c>
      <c r="C22" s="19" t="s">
        <v>4</v>
      </c>
      <c r="D22" s="31">
        <f>D18</f>
        <v>2221</v>
      </c>
      <c r="E22" s="31"/>
      <c r="F22" s="31"/>
      <c r="G22" s="31"/>
      <c r="H22" s="31"/>
      <c r="I22" s="31"/>
      <c r="J22" s="23"/>
    </row>
    <row r="23" spans="1:10" ht="18.75" x14ac:dyDescent="0.25">
      <c r="A23" s="47" t="s">
        <v>22</v>
      </c>
      <c r="B23" s="51" t="s">
        <v>104</v>
      </c>
      <c r="C23" s="49" t="s">
        <v>4</v>
      </c>
      <c r="D23" s="50">
        <f>39.8+24.47+5.16+11.57+18.16+5.18+2.68+5.45+1.37+16.49+55.51+63.38+13.76+2.59</f>
        <v>265.57</v>
      </c>
      <c r="E23" s="43"/>
      <c r="F23" s="43"/>
      <c r="G23" s="43"/>
      <c r="H23" s="43"/>
      <c r="I23" s="43"/>
      <c r="J23" s="44"/>
    </row>
    <row r="24" spans="1:10" ht="31.5" x14ac:dyDescent="0.25">
      <c r="A24" s="17" t="s">
        <v>23</v>
      </c>
      <c r="B24" s="18" t="s">
        <v>97</v>
      </c>
      <c r="C24" s="19" t="s">
        <v>3</v>
      </c>
      <c r="D24" s="31">
        <f>D23*0.15</f>
        <v>39.835499999999996</v>
      </c>
      <c r="E24" s="31"/>
      <c r="F24" s="31"/>
      <c r="G24" s="31"/>
      <c r="H24" s="31"/>
      <c r="I24" s="31"/>
      <c r="J24" s="19"/>
    </row>
    <row r="25" spans="1:10" ht="31.5" x14ac:dyDescent="0.25">
      <c r="A25" s="17" t="s">
        <v>24</v>
      </c>
      <c r="B25" s="18" t="s">
        <v>47</v>
      </c>
      <c r="C25" s="19" t="s">
        <v>5</v>
      </c>
      <c r="D25" s="31">
        <f>94.3*D23/1000</f>
        <v>25.043251000000001</v>
      </c>
      <c r="E25" s="31"/>
      <c r="F25" s="31"/>
      <c r="G25" s="31"/>
      <c r="H25" s="31"/>
      <c r="I25" s="31"/>
      <c r="J25" s="23" t="s">
        <v>31</v>
      </c>
    </row>
    <row r="26" spans="1:10" s="32" customFormat="1" ht="18.75" x14ac:dyDescent="0.25">
      <c r="A26" s="47" t="s">
        <v>13</v>
      </c>
      <c r="B26" s="51" t="s">
        <v>105</v>
      </c>
      <c r="C26" s="49" t="s">
        <v>4</v>
      </c>
      <c r="D26" s="50">
        <f>1661.45+1142.74</f>
        <v>2804.19</v>
      </c>
      <c r="E26" s="28"/>
      <c r="F26" s="28"/>
      <c r="G26" s="28"/>
      <c r="H26" s="28"/>
      <c r="I26" s="28"/>
      <c r="J26" s="27"/>
    </row>
    <row r="27" spans="1:10" s="32" customFormat="1" ht="31.5" x14ac:dyDescent="0.25">
      <c r="A27" s="17" t="s">
        <v>14</v>
      </c>
      <c r="B27" s="18" t="s">
        <v>97</v>
      </c>
      <c r="C27" s="19" t="s">
        <v>3</v>
      </c>
      <c r="D27" s="31">
        <f>D26*0.15</f>
        <v>420.62849999999997</v>
      </c>
      <c r="E27" s="31"/>
      <c r="F27" s="31"/>
      <c r="G27" s="31"/>
      <c r="H27" s="31"/>
      <c r="I27" s="31"/>
      <c r="J27" s="23"/>
    </row>
    <row r="28" spans="1:10" customFormat="1" ht="15.75" x14ac:dyDescent="0.25">
      <c r="A28" s="52" t="s">
        <v>15</v>
      </c>
      <c r="B28" s="53" t="s">
        <v>103</v>
      </c>
      <c r="C28" s="54" t="s">
        <v>3</v>
      </c>
      <c r="D28" s="31">
        <f>D26*0.015</f>
        <v>42.062849999999997</v>
      </c>
      <c r="E28" s="55"/>
      <c r="F28" s="56"/>
      <c r="G28" s="38"/>
      <c r="H28" s="38"/>
      <c r="I28" s="38"/>
      <c r="J28" s="38"/>
    </row>
    <row r="29" spans="1:10" s="32" customFormat="1" ht="15.75" x14ac:dyDescent="0.25">
      <c r="A29" s="17" t="s">
        <v>16</v>
      </c>
      <c r="B29" s="18" t="s">
        <v>101</v>
      </c>
      <c r="C29" s="19" t="s">
        <v>3</v>
      </c>
      <c r="D29" s="31">
        <f>1661.45*0.05</f>
        <v>83.072500000000005</v>
      </c>
      <c r="E29" s="31"/>
      <c r="F29" s="31"/>
      <c r="G29" s="31"/>
      <c r="H29" s="31"/>
      <c r="I29" s="31"/>
      <c r="J29" s="33"/>
    </row>
    <row r="30" spans="1:10" s="32" customFormat="1" ht="15.75" x14ac:dyDescent="0.25">
      <c r="A30" s="52" t="s">
        <v>17</v>
      </c>
      <c r="B30" s="18" t="s">
        <v>102</v>
      </c>
      <c r="C30" s="19" t="s">
        <v>3</v>
      </c>
      <c r="D30" s="31">
        <f>1142.74*0.05</f>
        <v>57.137</v>
      </c>
      <c r="E30" s="31"/>
      <c r="F30" s="31"/>
      <c r="G30" s="31"/>
      <c r="H30" s="31"/>
      <c r="I30" s="31"/>
      <c r="J30" s="33"/>
    </row>
    <row r="31" spans="1:10" s="32" customFormat="1" ht="31.5" x14ac:dyDescent="0.25">
      <c r="A31" s="76" t="s">
        <v>48</v>
      </c>
      <c r="B31" s="51" t="s">
        <v>129</v>
      </c>
      <c r="C31" s="61" t="s">
        <v>4</v>
      </c>
      <c r="D31" s="77">
        <f>432+2265.64</f>
        <v>2697.64</v>
      </c>
      <c r="E31" s="28"/>
      <c r="F31" s="28"/>
      <c r="G31" s="28"/>
      <c r="H31" s="28"/>
      <c r="I31" s="28"/>
      <c r="J31" s="34"/>
    </row>
    <row r="32" spans="1:10" s="32" customFormat="1" ht="15.75" x14ac:dyDescent="0.25">
      <c r="A32" s="17" t="s">
        <v>39</v>
      </c>
      <c r="B32" s="18" t="s">
        <v>106</v>
      </c>
      <c r="C32" s="19" t="s">
        <v>3</v>
      </c>
      <c r="D32" s="31">
        <f>D31*0.15</f>
        <v>404.64599999999996</v>
      </c>
      <c r="E32" s="31"/>
      <c r="F32" s="31"/>
      <c r="G32" s="31"/>
      <c r="H32" s="31"/>
      <c r="I32" s="31"/>
      <c r="J32" s="35"/>
    </row>
    <row r="33" spans="1:10" s="32" customFormat="1" ht="15.75" x14ac:dyDescent="0.25">
      <c r="A33" s="17" t="s">
        <v>40</v>
      </c>
      <c r="B33" s="18" t="s">
        <v>107</v>
      </c>
      <c r="C33" s="19" t="s">
        <v>3</v>
      </c>
      <c r="D33" s="31">
        <f>D31*0.015</f>
        <v>40.464599999999997</v>
      </c>
      <c r="E33" s="31"/>
      <c r="F33" s="31"/>
      <c r="G33" s="31"/>
      <c r="H33" s="31"/>
      <c r="I33" s="31"/>
      <c r="J33" s="35"/>
    </row>
    <row r="34" spans="1:10" s="32" customFormat="1" ht="15.75" x14ac:dyDescent="0.25">
      <c r="A34" s="17" t="s">
        <v>41</v>
      </c>
      <c r="B34" s="18" t="s">
        <v>108</v>
      </c>
      <c r="C34" s="19" t="s">
        <v>3</v>
      </c>
      <c r="D34" s="31">
        <f>D31*0.05</f>
        <v>134.88200000000001</v>
      </c>
      <c r="E34" s="31"/>
      <c r="F34" s="31"/>
      <c r="G34" s="31"/>
      <c r="H34" s="31"/>
      <c r="I34" s="31"/>
      <c r="J34" s="36"/>
    </row>
    <row r="35" spans="1:10" customFormat="1" ht="30.75" customHeight="1" x14ac:dyDescent="0.25">
      <c r="A35" s="60">
        <v>7</v>
      </c>
      <c r="B35" s="51" t="s">
        <v>134</v>
      </c>
      <c r="C35" s="61" t="s">
        <v>4</v>
      </c>
      <c r="D35" s="50">
        <f>3988-264</f>
        <v>3724</v>
      </c>
      <c r="E35" s="62"/>
      <c r="F35" s="56"/>
      <c r="G35" s="38"/>
      <c r="H35" s="38"/>
      <c r="I35" s="38"/>
      <c r="J35" s="38"/>
    </row>
    <row r="36" spans="1:10" customFormat="1" ht="15.75" x14ac:dyDescent="0.25">
      <c r="A36" s="59" t="s">
        <v>132</v>
      </c>
      <c r="B36" s="58" t="s">
        <v>109</v>
      </c>
      <c r="C36" s="57" t="s">
        <v>3</v>
      </c>
      <c r="D36" s="31">
        <f>D35*0.15</f>
        <v>558.6</v>
      </c>
      <c r="E36" s="55"/>
      <c r="F36" s="56"/>
      <c r="G36" s="38"/>
      <c r="H36" s="38"/>
      <c r="I36" s="38"/>
      <c r="J36" s="38"/>
    </row>
    <row r="37" spans="1:10" customFormat="1" ht="15" customHeight="1" x14ac:dyDescent="0.25">
      <c r="A37" s="59" t="s">
        <v>133</v>
      </c>
      <c r="B37" s="58" t="s">
        <v>110</v>
      </c>
      <c r="C37" s="57" t="s">
        <v>3</v>
      </c>
      <c r="D37" s="31">
        <f>D35*0.015</f>
        <v>55.86</v>
      </c>
      <c r="E37" s="55"/>
      <c r="F37" s="56"/>
      <c r="G37" s="38"/>
      <c r="H37" s="38"/>
      <c r="I37" s="38"/>
      <c r="J37" s="38"/>
    </row>
    <row r="38" spans="1:10" customFormat="1" ht="15.75" x14ac:dyDescent="0.25">
      <c r="A38" s="65">
        <v>8</v>
      </c>
      <c r="B38" s="66" t="s">
        <v>111</v>
      </c>
      <c r="C38" s="67" t="s">
        <v>4</v>
      </c>
      <c r="D38" s="50">
        <f>1173.14+355.46+18+490.48+359.25+31.82+5.87+40+33.79+38.44+107.99+188.12+555.62+1289.8+247.17+67.54+9.38+10.44+2716.4+97.83+48.55+923.83+35+24.45</f>
        <v>8868.3700000000008</v>
      </c>
      <c r="E38" s="62"/>
      <c r="F38" s="56"/>
      <c r="G38" s="38"/>
      <c r="H38" s="38"/>
      <c r="I38" s="38"/>
      <c r="J38" s="38"/>
    </row>
    <row r="39" spans="1:10" customFormat="1" ht="30" x14ac:dyDescent="0.25">
      <c r="A39" s="68" t="s">
        <v>81</v>
      </c>
      <c r="B39" s="44" t="s">
        <v>112</v>
      </c>
      <c r="C39" s="69" t="s">
        <v>3</v>
      </c>
      <c r="D39" s="31">
        <f>D38*0.1</f>
        <v>886.8370000000001</v>
      </c>
      <c r="E39" s="62"/>
      <c r="F39" s="56"/>
      <c r="G39" s="38"/>
      <c r="H39" s="38"/>
      <c r="I39" s="38"/>
      <c r="J39" s="38"/>
    </row>
    <row r="40" spans="1:10" customFormat="1" ht="15.75" x14ac:dyDescent="0.25">
      <c r="A40" s="68" t="s">
        <v>113</v>
      </c>
      <c r="B40" s="70" t="s">
        <v>114</v>
      </c>
      <c r="C40" s="71" t="s">
        <v>3</v>
      </c>
      <c r="D40" s="31">
        <f>D39*0.7</f>
        <v>620.78590000000008</v>
      </c>
      <c r="E40" s="62"/>
      <c r="F40" s="56"/>
      <c r="G40" s="38"/>
      <c r="H40" s="38"/>
      <c r="I40" s="38"/>
      <c r="J40" s="38"/>
    </row>
    <row r="41" spans="1:10" customFormat="1" ht="15.75" x14ac:dyDescent="0.25">
      <c r="A41" s="68" t="s">
        <v>115</v>
      </c>
      <c r="B41" s="70" t="s">
        <v>116</v>
      </c>
      <c r="C41" s="71" t="s">
        <v>3</v>
      </c>
      <c r="D41" s="31">
        <f>D39*0.3</f>
        <v>266.05110000000002</v>
      </c>
      <c r="E41" s="62"/>
      <c r="F41" s="56"/>
      <c r="G41" s="38"/>
      <c r="H41" s="38"/>
      <c r="I41" s="38"/>
      <c r="J41" s="38"/>
    </row>
    <row r="42" spans="1:10" customFormat="1" ht="31.5" x14ac:dyDescent="0.25">
      <c r="A42" s="68" t="s">
        <v>82</v>
      </c>
      <c r="B42" s="45" t="s">
        <v>117</v>
      </c>
      <c r="C42" s="71" t="s">
        <v>3</v>
      </c>
      <c r="D42" s="31">
        <f>D38*0.1</f>
        <v>886.8370000000001</v>
      </c>
      <c r="E42" s="62"/>
      <c r="F42" s="56"/>
      <c r="G42" s="38"/>
      <c r="H42" s="38"/>
      <c r="I42" s="38"/>
      <c r="J42" s="38"/>
    </row>
    <row r="43" spans="1:10" customFormat="1" ht="15.75" x14ac:dyDescent="0.25">
      <c r="A43" s="68" t="s">
        <v>118</v>
      </c>
      <c r="B43" s="70" t="s">
        <v>20</v>
      </c>
      <c r="C43" s="71" t="s">
        <v>3</v>
      </c>
      <c r="D43" s="31">
        <f>D42*0.7</f>
        <v>620.78590000000008</v>
      </c>
      <c r="E43" s="62"/>
      <c r="F43" s="56"/>
      <c r="G43" s="38"/>
      <c r="H43" s="38"/>
      <c r="I43" s="38"/>
      <c r="J43" s="38"/>
    </row>
    <row r="44" spans="1:10" customFormat="1" ht="15.75" x14ac:dyDescent="0.25">
      <c r="A44" s="68" t="s">
        <v>119</v>
      </c>
      <c r="B44" s="70" t="s">
        <v>116</v>
      </c>
      <c r="C44" s="71" t="s">
        <v>3</v>
      </c>
      <c r="D44" s="31">
        <f>D42*0.3</f>
        <v>266.05110000000002</v>
      </c>
      <c r="E44" s="62"/>
      <c r="F44" s="56"/>
      <c r="G44" s="75"/>
      <c r="H44" s="38"/>
      <c r="I44" s="38"/>
      <c r="J44" s="38"/>
    </row>
    <row r="45" spans="1:10" customFormat="1" ht="15.75" x14ac:dyDescent="0.25">
      <c r="A45" s="68" t="s">
        <v>83</v>
      </c>
      <c r="B45" s="45" t="s">
        <v>19</v>
      </c>
      <c r="C45" s="69" t="s">
        <v>6</v>
      </c>
      <c r="D45" s="31">
        <f>D38*0.04</f>
        <v>354.73480000000006</v>
      </c>
      <c r="E45" s="62"/>
      <c r="F45" s="56"/>
      <c r="G45" s="38"/>
      <c r="H45" s="38"/>
      <c r="I45" s="38"/>
      <c r="J45" s="38"/>
    </row>
    <row r="46" spans="1:10" customFormat="1" ht="15.75" x14ac:dyDescent="0.25">
      <c r="A46" s="65">
        <v>9</v>
      </c>
      <c r="B46" s="66" t="s">
        <v>120</v>
      </c>
      <c r="C46" s="67" t="s">
        <v>4</v>
      </c>
      <c r="D46" s="50">
        <v>19.89</v>
      </c>
      <c r="E46" s="62"/>
      <c r="F46" s="56"/>
      <c r="G46" s="38"/>
      <c r="H46" s="38"/>
      <c r="I46" s="38"/>
      <c r="J46" s="38"/>
    </row>
    <row r="47" spans="1:10" customFormat="1" ht="15" customHeight="1" x14ac:dyDescent="0.25">
      <c r="A47" s="68" t="s">
        <v>84</v>
      </c>
      <c r="B47" s="72" t="s">
        <v>121</v>
      </c>
      <c r="C47" s="69" t="s">
        <v>3</v>
      </c>
      <c r="D47" s="31">
        <f>D46*0.2</f>
        <v>3.9780000000000002</v>
      </c>
      <c r="E47" s="62"/>
      <c r="F47" s="63"/>
      <c r="G47" s="63"/>
      <c r="H47" s="63"/>
      <c r="I47" s="63"/>
      <c r="J47" s="38"/>
    </row>
    <row r="48" spans="1:10" customFormat="1" ht="42.75" x14ac:dyDescent="0.25">
      <c r="A48" s="65">
        <v>10</v>
      </c>
      <c r="B48" s="66" t="s">
        <v>122</v>
      </c>
      <c r="C48" s="67" t="s">
        <v>7</v>
      </c>
      <c r="D48" s="50">
        <f>89.08+11.49+2+8+8+2+2+7.42+87.97+39.51+48.79+59.19+18.2+2+7+2+7+2+16.13+17.81+3+6.15+6+1.32+1.29+80.16+48.08+6+30.48+5.77+36.68+11.59+10.83+4.15+15.36+67.16+2+12.01+92.77+8+2+2+8+2+11.49</f>
        <v>911.88</v>
      </c>
      <c r="E48" s="73"/>
      <c r="F48" s="56"/>
      <c r="G48" s="38"/>
      <c r="H48" s="38"/>
      <c r="I48" s="38"/>
      <c r="J48" s="38"/>
    </row>
    <row r="49" spans="1:10" customFormat="1" ht="15.75" x14ac:dyDescent="0.25">
      <c r="A49" s="68" t="s">
        <v>42</v>
      </c>
      <c r="B49" s="74" t="s">
        <v>123</v>
      </c>
      <c r="C49" s="69" t="s">
        <v>3</v>
      </c>
      <c r="D49" s="31">
        <f>D48*0.055</f>
        <v>50.153399999999998</v>
      </c>
      <c r="E49" s="62"/>
      <c r="F49" s="56"/>
      <c r="G49" s="38"/>
      <c r="H49" s="38"/>
      <c r="I49" s="38"/>
      <c r="J49" s="38"/>
    </row>
    <row r="50" spans="1:10" customFormat="1" ht="15.75" x14ac:dyDescent="0.25">
      <c r="A50" s="68" t="s">
        <v>43</v>
      </c>
      <c r="B50" s="72" t="s">
        <v>124</v>
      </c>
      <c r="C50" s="69" t="s">
        <v>125</v>
      </c>
      <c r="D50" s="31">
        <f>D48</f>
        <v>911.88</v>
      </c>
      <c r="E50" s="62"/>
      <c r="F50" s="56"/>
      <c r="G50" s="38"/>
      <c r="H50" s="38"/>
      <c r="I50" s="38"/>
      <c r="J50" s="38"/>
    </row>
    <row r="51" spans="1:10" customFormat="1" ht="59.25" customHeight="1" x14ac:dyDescent="0.25">
      <c r="A51" s="65">
        <v>11</v>
      </c>
      <c r="B51" s="66" t="s">
        <v>126</v>
      </c>
      <c r="C51" s="67" t="s">
        <v>7</v>
      </c>
      <c r="D51" s="50">
        <f>7.4+4.92+3*36.99+182.89+373.03+139.86+202.83+34.57+12.49+27.84+12.57+11.21+13.19+32.47+36.99+5.99+23.42+94.71+3*37.01+20.1+18+20.1+96.65+22.79+52.13+0.95+19.75+256.14+3*36.99+0.69+2.67+0.53+0.52+2*0.62+4.42+19.54+125.43+78+72.57</f>
        <v>2361.5700000000002</v>
      </c>
      <c r="E51" s="62"/>
      <c r="F51" s="56"/>
      <c r="G51" s="38"/>
      <c r="H51" s="38"/>
      <c r="I51" s="38"/>
      <c r="J51" s="38"/>
    </row>
    <row r="52" spans="1:10" customFormat="1" ht="15.75" x14ac:dyDescent="0.25">
      <c r="A52" s="68" t="s">
        <v>26</v>
      </c>
      <c r="B52" s="74" t="s">
        <v>123</v>
      </c>
      <c r="C52" s="69" t="s">
        <v>3</v>
      </c>
      <c r="D52" s="31">
        <f>D51*0.032</f>
        <v>75.570240000000013</v>
      </c>
      <c r="E52" s="62"/>
      <c r="F52" s="56"/>
      <c r="G52" s="38"/>
      <c r="H52" s="38"/>
      <c r="I52" s="38"/>
      <c r="J52" s="38"/>
    </row>
    <row r="53" spans="1:10" customFormat="1" ht="15.75" x14ac:dyDescent="0.25">
      <c r="A53" s="52" t="s">
        <v>25</v>
      </c>
      <c r="B53" s="64" t="s">
        <v>127</v>
      </c>
      <c r="C53" s="54" t="s">
        <v>125</v>
      </c>
      <c r="D53" s="31">
        <f>D51</f>
        <v>2361.5700000000002</v>
      </c>
      <c r="E53" s="55"/>
      <c r="F53" s="56"/>
      <c r="G53" s="38"/>
      <c r="H53" s="38"/>
      <c r="I53" s="38"/>
      <c r="J53" s="38"/>
    </row>
    <row r="54" spans="1:10" s="11" customFormat="1" x14ac:dyDescent="0.25">
      <c r="A54" s="14"/>
      <c r="B54" s="12"/>
      <c r="C54" s="7"/>
      <c r="D54" s="15"/>
      <c r="E54" s="15"/>
      <c r="F54" s="15"/>
      <c r="G54" s="15"/>
      <c r="H54" s="15"/>
      <c r="I54" s="15"/>
      <c r="J54" s="7"/>
    </row>
    <row r="55" spans="1:10" ht="15" customHeight="1" x14ac:dyDescent="0.25">
      <c r="A55" s="1"/>
      <c r="B55" s="78" t="s">
        <v>128</v>
      </c>
      <c r="C55" s="78"/>
      <c r="D55" s="10"/>
      <c r="E55" s="42"/>
      <c r="F55" s="42"/>
      <c r="G55" s="42"/>
      <c r="H55" s="42"/>
      <c r="I55" s="42"/>
    </row>
    <row r="56" spans="1:10" s="32" customFormat="1" ht="15" customHeight="1" x14ac:dyDescent="0.25">
      <c r="B56" s="78"/>
      <c r="C56" s="78"/>
      <c r="D56" s="46"/>
      <c r="E56" s="46"/>
      <c r="F56" s="46"/>
      <c r="G56" s="46"/>
      <c r="H56" s="46"/>
      <c r="I56" s="46"/>
    </row>
    <row r="57" spans="1:10" x14ac:dyDescent="0.25">
      <c r="B57" s="3" t="s">
        <v>130</v>
      </c>
    </row>
    <row r="58" spans="1:10" x14ac:dyDescent="0.25">
      <c r="B58" s="3" t="s">
        <v>131</v>
      </c>
    </row>
  </sheetData>
  <mergeCells count="12">
    <mergeCell ref="A1:J1"/>
    <mergeCell ref="A2:J2"/>
    <mergeCell ref="D4:D5"/>
    <mergeCell ref="J4:J5"/>
    <mergeCell ref="A4:A5"/>
    <mergeCell ref="B4:B5"/>
    <mergeCell ref="C4:C5"/>
    <mergeCell ref="E4:E5"/>
    <mergeCell ref="F4:F5"/>
    <mergeCell ref="G4:G5"/>
    <mergeCell ref="H4:H5"/>
    <mergeCell ref="I4:I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12ACF-46C2-41BD-8F2F-6DF28C455482}">
  <dimension ref="A1:F22"/>
  <sheetViews>
    <sheetView workbookViewId="0">
      <selection activeCell="E23" sqref="E23"/>
    </sheetView>
  </sheetViews>
  <sheetFormatPr defaultRowHeight="15" x14ac:dyDescent="0.25"/>
  <cols>
    <col min="3" max="3" width="12.85546875" customWidth="1"/>
    <col min="4" max="4" width="18.7109375" customWidth="1"/>
    <col min="6" max="6" width="14.140625" customWidth="1"/>
  </cols>
  <sheetData>
    <row r="1" spans="1:6" ht="45" x14ac:dyDescent="0.25">
      <c r="A1" s="38" t="s">
        <v>72</v>
      </c>
      <c r="B1" s="38" t="s">
        <v>69</v>
      </c>
      <c r="C1" s="38" t="s">
        <v>70</v>
      </c>
      <c r="D1" s="38" t="s">
        <v>74</v>
      </c>
      <c r="E1" s="39" t="s">
        <v>71</v>
      </c>
      <c r="F1" s="40" t="s">
        <v>73</v>
      </c>
    </row>
    <row r="2" spans="1:6" x14ac:dyDescent="0.25">
      <c r="A2" s="38" t="s">
        <v>49</v>
      </c>
      <c r="B2" s="38">
        <v>53.1</v>
      </c>
      <c r="C2" s="38">
        <v>51.98</v>
      </c>
      <c r="D2" s="38">
        <f>C2-0.5-0.15</f>
        <v>51.33</v>
      </c>
      <c r="E2" s="38">
        <f>B2-D2</f>
        <v>1.7700000000000031</v>
      </c>
      <c r="F2" s="38">
        <f>1.4*1.4*E2-3.14*0.4*0.4/4*E2</f>
        <v>3.2468880000000051</v>
      </c>
    </row>
    <row r="3" spans="1:6" x14ac:dyDescent="0.25">
      <c r="A3" s="38" t="s">
        <v>50</v>
      </c>
      <c r="B3" s="38">
        <v>53.1</v>
      </c>
      <c r="C3" s="38">
        <v>52.01</v>
      </c>
      <c r="D3" s="38">
        <f t="shared" ref="D3:D21" si="0">C3-0.5-0.15</f>
        <v>51.36</v>
      </c>
      <c r="E3" s="38">
        <f t="shared" ref="E3:E21" si="1">B3-D3</f>
        <v>1.740000000000002</v>
      </c>
      <c r="F3" s="38">
        <f t="shared" ref="F3:F21" si="2">1.4*1.4*E3-3.14*0.4*0.4/4*E3</f>
        <v>3.1918560000000031</v>
      </c>
    </row>
    <row r="4" spans="1:6" x14ac:dyDescent="0.25">
      <c r="A4" s="38" t="s">
        <v>51</v>
      </c>
      <c r="B4" s="38">
        <v>53.25</v>
      </c>
      <c r="C4" s="38">
        <v>52.12</v>
      </c>
      <c r="D4" s="38">
        <f t="shared" si="0"/>
        <v>51.47</v>
      </c>
      <c r="E4" s="38">
        <f t="shared" si="1"/>
        <v>1.7800000000000011</v>
      </c>
      <c r="F4" s="38">
        <f t="shared" si="2"/>
        <v>3.2652320000000015</v>
      </c>
    </row>
    <row r="5" spans="1:6" x14ac:dyDescent="0.25">
      <c r="A5" s="38" t="s">
        <v>52</v>
      </c>
      <c r="B5" s="38">
        <v>53.25</v>
      </c>
      <c r="C5" s="38">
        <v>52.25</v>
      </c>
      <c r="D5" s="38">
        <f t="shared" si="0"/>
        <v>51.6</v>
      </c>
      <c r="E5" s="38">
        <f t="shared" si="1"/>
        <v>1.6499999999999986</v>
      </c>
      <c r="F5" s="38">
        <f t="shared" si="2"/>
        <v>3.0267599999999972</v>
      </c>
    </row>
    <row r="6" spans="1:6" x14ac:dyDescent="0.25">
      <c r="A6" s="38" t="s">
        <v>53</v>
      </c>
      <c r="B6" s="38">
        <v>53.25</v>
      </c>
      <c r="C6" s="38">
        <v>52.12</v>
      </c>
      <c r="D6" s="38">
        <f t="shared" si="0"/>
        <v>51.47</v>
      </c>
      <c r="E6" s="38">
        <f t="shared" si="1"/>
        <v>1.7800000000000011</v>
      </c>
      <c r="F6" s="38">
        <f t="shared" si="2"/>
        <v>3.2652320000000015</v>
      </c>
    </row>
    <row r="7" spans="1:6" x14ac:dyDescent="0.25">
      <c r="A7" s="38" t="s">
        <v>54</v>
      </c>
      <c r="B7" s="38">
        <v>53.1</v>
      </c>
      <c r="C7" s="38">
        <v>51.96</v>
      </c>
      <c r="D7" s="38">
        <f t="shared" si="0"/>
        <v>51.31</v>
      </c>
      <c r="E7" s="38">
        <f t="shared" si="1"/>
        <v>1.7899999999999991</v>
      </c>
      <c r="F7" s="38">
        <f t="shared" si="2"/>
        <v>3.2835759999999978</v>
      </c>
    </row>
    <row r="8" spans="1:6" x14ac:dyDescent="0.25">
      <c r="A8" s="38" t="s">
        <v>55</v>
      </c>
      <c r="B8" s="38">
        <v>53.05</v>
      </c>
      <c r="C8" s="38">
        <v>51.94</v>
      </c>
      <c r="D8" s="38">
        <f t="shared" si="0"/>
        <v>51.29</v>
      </c>
      <c r="E8" s="38">
        <f t="shared" si="1"/>
        <v>1.759999999999998</v>
      </c>
      <c r="F8" s="38">
        <f t="shared" si="2"/>
        <v>3.2285439999999959</v>
      </c>
    </row>
    <row r="9" spans="1:6" x14ac:dyDescent="0.25">
      <c r="A9" s="38" t="s">
        <v>56</v>
      </c>
      <c r="B9" s="38">
        <v>53.05</v>
      </c>
      <c r="C9" s="38">
        <v>51.68</v>
      </c>
      <c r="D9" s="38">
        <f t="shared" si="0"/>
        <v>51.03</v>
      </c>
      <c r="E9" s="38">
        <f t="shared" si="1"/>
        <v>2.019999999999996</v>
      </c>
      <c r="F9" s="38">
        <f t="shared" si="2"/>
        <v>3.7054879999999919</v>
      </c>
    </row>
    <row r="10" spans="1:6" x14ac:dyDescent="0.25">
      <c r="A10" s="38" t="s">
        <v>57</v>
      </c>
      <c r="B10" s="38">
        <v>52.85</v>
      </c>
      <c r="C10" s="38">
        <v>51.69</v>
      </c>
      <c r="D10" s="38">
        <f t="shared" si="0"/>
        <v>51.04</v>
      </c>
      <c r="E10" s="38">
        <f t="shared" si="1"/>
        <v>1.8100000000000023</v>
      </c>
      <c r="F10" s="38">
        <f t="shared" si="2"/>
        <v>3.3202640000000039</v>
      </c>
    </row>
    <row r="11" spans="1:6" x14ac:dyDescent="0.25">
      <c r="A11" s="38" t="s">
        <v>58</v>
      </c>
      <c r="B11" s="38">
        <v>53.05</v>
      </c>
      <c r="C11" s="38">
        <v>51.73</v>
      </c>
      <c r="D11" s="38">
        <f t="shared" si="0"/>
        <v>51.08</v>
      </c>
      <c r="E11" s="38">
        <f t="shared" si="1"/>
        <v>1.9699999999999989</v>
      </c>
      <c r="F11" s="38">
        <f t="shared" si="2"/>
        <v>3.6137679999999972</v>
      </c>
    </row>
    <row r="12" spans="1:6" x14ac:dyDescent="0.25">
      <c r="A12" s="38" t="s">
        <v>59</v>
      </c>
      <c r="B12" s="38">
        <v>53.1</v>
      </c>
      <c r="C12" s="38">
        <v>51.77</v>
      </c>
      <c r="D12" s="38">
        <f t="shared" si="0"/>
        <v>51.120000000000005</v>
      </c>
      <c r="E12" s="38">
        <f t="shared" si="1"/>
        <v>1.9799999999999969</v>
      </c>
      <c r="F12" s="38">
        <f t="shared" si="2"/>
        <v>3.6321119999999936</v>
      </c>
    </row>
    <row r="13" spans="1:6" x14ac:dyDescent="0.25">
      <c r="A13" s="38" t="s">
        <v>60</v>
      </c>
      <c r="B13" s="38">
        <v>53.1</v>
      </c>
      <c r="C13" s="38">
        <v>51.81</v>
      </c>
      <c r="D13" s="38">
        <f t="shared" si="0"/>
        <v>51.160000000000004</v>
      </c>
      <c r="E13" s="38">
        <f t="shared" si="1"/>
        <v>1.9399999999999977</v>
      </c>
      <c r="F13" s="38">
        <f t="shared" si="2"/>
        <v>3.5587359999999952</v>
      </c>
    </row>
    <row r="14" spans="1:6" x14ac:dyDescent="0.25">
      <c r="A14" s="38" t="s">
        <v>61</v>
      </c>
      <c r="B14" s="38">
        <v>53.05</v>
      </c>
      <c r="C14" s="38">
        <v>51.76</v>
      </c>
      <c r="D14" s="38">
        <f t="shared" si="0"/>
        <v>51.11</v>
      </c>
      <c r="E14" s="38">
        <f t="shared" si="1"/>
        <v>1.9399999999999977</v>
      </c>
      <c r="F14" s="38">
        <f t="shared" si="2"/>
        <v>3.5587359999999952</v>
      </c>
    </row>
    <row r="15" spans="1:6" x14ac:dyDescent="0.25">
      <c r="A15" s="38" t="s">
        <v>62</v>
      </c>
      <c r="B15" s="38">
        <v>53</v>
      </c>
      <c r="C15" s="38">
        <v>51.62</v>
      </c>
      <c r="D15" s="38">
        <f t="shared" si="0"/>
        <v>50.97</v>
      </c>
      <c r="E15" s="38">
        <f t="shared" si="1"/>
        <v>2.0300000000000011</v>
      </c>
      <c r="F15" s="38">
        <f t="shared" si="2"/>
        <v>3.7238320000000016</v>
      </c>
    </row>
    <row r="16" spans="1:6" x14ac:dyDescent="0.25">
      <c r="A16" s="38" t="s">
        <v>63</v>
      </c>
      <c r="B16" s="38">
        <v>53</v>
      </c>
      <c r="C16" s="38">
        <v>51.87</v>
      </c>
      <c r="D16" s="38">
        <f t="shared" si="0"/>
        <v>51.22</v>
      </c>
      <c r="E16" s="38">
        <f t="shared" si="1"/>
        <v>1.7800000000000011</v>
      </c>
      <c r="F16" s="38">
        <f t="shared" si="2"/>
        <v>3.2652320000000015</v>
      </c>
    </row>
    <row r="17" spans="1:6" x14ac:dyDescent="0.25">
      <c r="A17" s="38" t="s">
        <v>64</v>
      </c>
      <c r="B17" s="38">
        <v>52.95</v>
      </c>
      <c r="C17" s="38">
        <v>51.86</v>
      </c>
      <c r="D17" s="38">
        <f t="shared" si="0"/>
        <v>51.21</v>
      </c>
      <c r="E17" s="38">
        <f t="shared" si="1"/>
        <v>1.740000000000002</v>
      </c>
      <c r="F17" s="38">
        <f t="shared" si="2"/>
        <v>3.1918560000000031</v>
      </c>
    </row>
    <row r="18" spans="1:6" x14ac:dyDescent="0.25">
      <c r="A18" s="38" t="s">
        <v>65</v>
      </c>
      <c r="B18" s="38">
        <v>52.9</v>
      </c>
      <c r="C18" s="38">
        <v>51.9</v>
      </c>
      <c r="D18" s="38">
        <f t="shared" si="0"/>
        <v>51.25</v>
      </c>
      <c r="E18" s="38">
        <f t="shared" si="1"/>
        <v>1.6499999999999986</v>
      </c>
      <c r="F18" s="38">
        <f t="shared" si="2"/>
        <v>3.0267599999999972</v>
      </c>
    </row>
    <row r="19" spans="1:6" x14ac:dyDescent="0.25">
      <c r="A19" s="38" t="s">
        <v>66</v>
      </c>
      <c r="B19" s="38">
        <v>52.9</v>
      </c>
      <c r="C19" s="38">
        <v>51.9</v>
      </c>
      <c r="D19" s="38">
        <f t="shared" si="0"/>
        <v>51.25</v>
      </c>
      <c r="E19" s="38">
        <f t="shared" si="1"/>
        <v>1.6499999999999986</v>
      </c>
      <c r="F19" s="38">
        <f t="shared" si="2"/>
        <v>3.0267599999999972</v>
      </c>
    </row>
    <row r="20" spans="1:6" x14ac:dyDescent="0.25">
      <c r="A20" s="38" t="s">
        <v>67</v>
      </c>
      <c r="B20" s="38">
        <v>53.05</v>
      </c>
      <c r="C20" s="38">
        <v>52.4</v>
      </c>
      <c r="D20" s="38">
        <f t="shared" si="0"/>
        <v>51.75</v>
      </c>
      <c r="E20" s="38">
        <f t="shared" si="1"/>
        <v>1.2999999999999972</v>
      </c>
      <c r="F20" s="38">
        <f t="shared" si="2"/>
        <v>2.3847199999999944</v>
      </c>
    </row>
    <row r="21" spans="1:6" x14ac:dyDescent="0.25">
      <c r="A21" s="38" t="s">
        <v>68</v>
      </c>
      <c r="B21" s="38">
        <v>53.1</v>
      </c>
      <c r="C21" s="38">
        <v>52.4</v>
      </c>
      <c r="D21" s="38">
        <f t="shared" si="0"/>
        <v>51.75</v>
      </c>
      <c r="E21" s="38">
        <f t="shared" si="1"/>
        <v>1.3500000000000014</v>
      </c>
      <c r="F21" s="38">
        <f t="shared" si="2"/>
        <v>2.4764400000000024</v>
      </c>
    </row>
    <row r="22" spans="1:6" x14ac:dyDescent="0.25">
      <c r="E22" s="41">
        <f>E2+E3+E4+E5+E6+E7+E8+E9+E10+E11+E12+E13+E14+E15+E16+E17+E18+E19+E20+E21</f>
        <v>35.429999999999993</v>
      </c>
      <c r="F22">
        <f>SUM(F2:F21)</f>
        <v>64.99279199999998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Благ.(571 6) ГОТОВЫЙ</vt:lpstr>
      <vt:lpstr>Лист1</vt:lpstr>
      <vt:lpstr>'Благ.(571 6) ГОТОВЫЙ'!Область_печати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2023-03-01T08:27:32Z</dcterms:modified>
</cp:coreProperties>
</file>